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24226"/>
  <mc:AlternateContent xmlns:mc="http://schemas.openxmlformats.org/markup-compatibility/2006">
    <mc:Choice Requires="x15">
      <x15ac:absPath xmlns:x15ac="http://schemas.microsoft.com/office/spreadsheetml/2010/11/ac" url="O:\BUDGET\Budget 2022\"/>
    </mc:Choice>
  </mc:AlternateContent>
  <xr:revisionPtr revIDLastSave="0" documentId="13_ncr:1_{95EED7E8-8E1B-489D-90B0-A94023E77B79}" xr6:coauthVersionLast="47" xr6:coauthVersionMax="47" xr10:uidLastSave="{00000000-0000-0000-0000-000000000000}"/>
  <bookViews>
    <workbookView xWindow="-108" yWindow="-108" windowWidth="23256" windowHeight="12576" xr2:uid="{00000000-000D-0000-FFFF-FFFF00000000}"/>
  </bookViews>
  <sheets>
    <sheet name="2022" sheetId="2" r:id="rId1"/>
    <sheet name="Feuil1" sheetId="3" r:id="rId2"/>
  </sheets>
  <definedNames>
    <definedName name="Print_Area" localSheetId="0">'2022'!$B$2:$P$135</definedName>
    <definedName name="_xlnm.Print_Area" localSheetId="0">'2022'!$A$7:$R$137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94" i="2" l="1"/>
  <c r="R85" i="2"/>
  <c r="R71" i="2"/>
  <c r="N34" i="2"/>
  <c r="N47" i="2"/>
  <c r="L47" i="2"/>
  <c r="L40" i="2"/>
  <c r="N17" i="2"/>
  <c r="L17" i="2"/>
  <c r="N25" i="2"/>
  <c r="L25" i="2"/>
  <c r="N29" i="2"/>
  <c r="L29" i="2"/>
  <c r="N61" i="2"/>
  <c r="L61" i="2"/>
  <c r="N104" i="2" l="1"/>
  <c r="L104" i="2"/>
  <c r="L115" i="2"/>
  <c r="N86" i="2" l="1"/>
  <c r="L88" i="2"/>
  <c r="N114" i="2"/>
  <c r="L114" i="2"/>
  <c r="N15" i="2"/>
  <c r="L15" i="2"/>
  <c r="N67" i="2"/>
  <c r="L67" i="2"/>
  <c r="N116" i="2"/>
  <c r="N16" i="2"/>
  <c r="L16" i="2"/>
  <c r="R16" i="2" s="1"/>
  <c r="N54" i="2"/>
  <c r="L116" i="2"/>
  <c r="N40" i="2"/>
  <c r="N70" i="2"/>
  <c r="N69" i="2"/>
  <c r="L111" i="2"/>
  <c r="N115" i="2"/>
  <c r="N103" i="2"/>
  <c r="L103" i="2"/>
  <c r="K116" i="2"/>
  <c r="K119" i="2"/>
  <c r="J106" i="2"/>
  <c r="N101" i="2"/>
  <c r="N100" i="2"/>
  <c r="L100" i="2"/>
  <c r="L60" i="2"/>
  <c r="N32" i="2"/>
  <c r="L32" i="2"/>
  <c r="N44" i="2"/>
  <c r="N23" i="2"/>
  <c r="L23" i="2"/>
  <c r="N13" i="2"/>
  <c r="L13" i="2"/>
  <c r="L86" i="2"/>
  <c r="N71" i="2"/>
  <c r="J117" i="2"/>
  <c r="N53" i="2"/>
  <c r="L53" i="2"/>
  <c r="R95" i="2"/>
  <c r="R24" i="2"/>
  <c r="R23" i="2"/>
  <c r="R17" i="2"/>
  <c r="R15" i="2"/>
  <c r="R13" i="2"/>
  <c r="N24" i="2"/>
  <c r="L24" i="2"/>
  <c r="N123" i="2"/>
  <c r="L94" i="2"/>
  <c r="J61" i="2"/>
  <c r="J56" i="2"/>
  <c r="N111" i="2"/>
  <c r="N85" i="2"/>
  <c r="R25" i="2" l="1"/>
  <c r="N36" i="2"/>
  <c r="L36" i="2"/>
  <c r="N73" i="2" l="1"/>
  <c r="L84" i="2" l="1"/>
  <c r="N55" i="2"/>
  <c r="L55" i="2"/>
  <c r="N94" i="2"/>
  <c r="L131" i="2"/>
  <c r="L132" i="2"/>
  <c r="N126" i="2"/>
  <c r="L126" i="2"/>
  <c r="N124" i="2"/>
  <c r="L124" i="2"/>
  <c r="L128" i="2"/>
  <c r="N125" i="2"/>
  <c r="L125" i="2"/>
  <c r="J27" i="2" l="1"/>
  <c r="J71" i="2" l="1"/>
  <c r="J55" i="2"/>
  <c r="J16" i="2"/>
  <c r="N133" i="2" l="1"/>
  <c r="L133" i="2"/>
  <c r="N117" i="2"/>
  <c r="L117" i="2"/>
  <c r="N106" i="2"/>
  <c r="L106" i="2"/>
  <c r="K106" i="2"/>
  <c r="N95" i="2"/>
  <c r="L95" i="2"/>
  <c r="N89" i="2"/>
  <c r="L89" i="2"/>
  <c r="K89" i="2"/>
  <c r="N75" i="2"/>
  <c r="L75" i="2"/>
  <c r="K75" i="2"/>
  <c r="N62" i="2"/>
  <c r="L62" i="2"/>
  <c r="R62" i="2" s="1"/>
  <c r="K62" i="2"/>
  <c r="N57" i="2"/>
  <c r="L57" i="2"/>
  <c r="K57" i="2"/>
  <c r="N48" i="2"/>
  <c r="L48" i="2"/>
  <c r="K48" i="2"/>
  <c r="N45" i="2"/>
  <c r="L45" i="2"/>
  <c r="R45" i="2" s="1"/>
  <c r="K45" i="2"/>
  <c r="N41" i="2"/>
  <c r="L41" i="2"/>
  <c r="K41" i="2"/>
  <c r="N37" i="2"/>
  <c r="L37" i="2"/>
  <c r="K37" i="2"/>
  <c r="N30" i="2"/>
  <c r="L30" i="2"/>
  <c r="K30" i="2"/>
  <c r="N27" i="2"/>
  <c r="L27" i="2"/>
  <c r="K27" i="2"/>
  <c r="N19" i="2"/>
  <c r="L19" i="2"/>
  <c r="K19" i="2"/>
  <c r="J19" i="2"/>
  <c r="R30" i="2" l="1"/>
  <c r="R48" i="2"/>
  <c r="R89" i="2"/>
  <c r="R27" i="2"/>
  <c r="R41" i="2"/>
  <c r="R106" i="2"/>
  <c r="R19" i="2"/>
  <c r="R117" i="2"/>
  <c r="R37" i="2"/>
  <c r="R57" i="2"/>
  <c r="R75" i="2"/>
  <c r="R133" i="2"/>
  <c r="K49" i="2"/>
  <c r="N49" i="2"/>
  <c r="L49" i="2"/>
  <c r="L64" i="2"/>
  <c r="N64" i="2"/>
  <c r="K64" i="2"/>
  <c r="K96" i="2"/>
  <c r="L96" i="2"/>
  <c r="N96" i="2"/>
  <c r="N108" i="2" s="1"/>
  <c r="R49" i="2" l="1"/>
  <c r="L108" i="2"/>
  <c r="R96" i="2"/>
  <c r="R64" i="2"/>
  <c r="L77" i="2"/>
  <c r="N77" i="2"/>
  <c r="N119" i="2" s="1"/>
  <c r="N135" i="2" s="1"/>
  <c r="K77" i="2"/>
  <c r="K135" i="2"/>
  <c r="J37" i="2"/>
  <c r="J133" i="2"/>
  <c r="J75" i="2"/>
  <c r="J89" i="2"/>
  <c r="J95" i="2"/>
  <c r="L119" i="2" l="1"/>
  <c r="L135" i="2" s="1"/>
  <c r="R77" i="2"/>
  <c r="J96" i="2"/>
  <c r="J108" i="2" s="1"/>
  <c r="R108" i="2" s="1"/>
  <c r="J62" i="2"/>
  <c r="J57" i="2"/>
  <c r="J48" i="2"/>
  <c r="J45" i="2"/>
  <c r="J41" i="2"/>
  <c r="J49" i="2" l="1"/>
  <c r="J64" i="2"/>
  <c r="J135" i="2" l="1"/>
  <c r="R135" i="2" s="1"/>
  <c r="J77" i="2"/>
  <c r="J119" i="2" s="1"/>
  <c r="R119" i="2" s="1"/>
  <c r="I96" i="2" l="1"/>
  <c r="I106" i="2"/>
  <c r="I117" i="2"/>
  <c r="I75" i="2" l="1"/>
  <c r="I49" i="2"/>
  <c r="I77" i="2" s="1"/>
  <c r="I135" i="2" s="1"/>
</calcChain>
</file>

<file path=xl/sharedStrings.xml><?xml version="1.0" encoding="utf-8"?>
<sst xmlns="http://schemas.openxmlformats.org/spreadsheetml/2006/main" count="238" uniqueCount="181">
  <si>
    <t xml:space="preserve">CIBLES </t>
  </si>
  <si>
    <t>BUDGET 2015</t>
  </si>
  <si>
    <t>Temporalité</t>
  </si>
  <si>
    <t xml:space="preserve">OBJECTIFS stratégiques </t>
  </si>
  <si>
    <t>OBJECTIFS DE COM</t>
  </si>
  <si>
    <t xml:space="preserve">Action 1  : Pack JURA </t>
  </si>
  <si>
    <t>Promotion à destination du Grand Public (Indiv et groupes) tous marchés</t>
  </si>
  <si>
    <t xml:space="preserve"> Dispositif de com &gt; Actions </t>
  </si>
  <si>
    <t xml:space="preserve"> Action 3  &gt; PRESSE / RP  - BLOGUEURS influenceurs </t>
  </si>
  <si>
    <t>Sous-total Outdoor</t>
  </si>
  <si>
    <t xml:space="preserve">Accompagnement partenaires / Dev. Filières </t>
  </si>
  <si>
    <t xml:space="preserve">Sous-total </t>
  </si>
  <si>
    <t>Sous-total</t>
  </si>
  <si>
    <t>Outils  génériques Jura au service de tous les acteurs dont (pro) et territoires</t>
  </si>
  <si>
    <t>Toute l'année</t>
  </si>
  <si>
    <t>1er trimestre</t>
  </si>
  <si>
    <t xml:space="preserve">Prévisionnel   Recettes / partenaires </t>
  </si>
  <si>
    <t>Fonctionnement outils web</t>
  </si>
  <si>
    <t>Hébergement serveur Koredge</t>
  </si>
  <si>
    <t>TT l'année</t>
  </si>
  <si>
    <t>Début et fin d'année</t>
  </si>
  <si>
    <t xml:space="preserve">MARCHÉS A TRAVAILLER (F/B/CH/D/NL) </t>
  </si>
  <si>
    <t>France et Etranger</t>
  </si>
  <si>
    <t>FR</t>
  </si>
  <si>
    <t>FR et Etranger</t>
  </si>
  <si>
    <t>Tous publics + socio pro</t>
  </si>
  <si>
    <t>Journalistes /influenceurs</t>
  </si>
  <si>
    <t>Sous total EJ hors SubV interreg</t>
  </si>
  <si>
    <t>Interreg Échappée Jurassienne ( 10 000€ année n-1  reliquat  + 51 000 € soit 61 000 € TTC)</t>
  </si>
  <si>
    <t>Communication institustionnelle</t>
  </si>
  <si>
    <t>Action 6</t>
  </si>
  <si>
    <t>Actions 6 - Autres partenariats, Evènements, HA d'espace</t>
  </si>
  <si>
    <t>Actions Echappée Jurassienne hors Interreg</t>
  </si>
  <si>
    <t>Action 10 : Interreg EJ</t>
  </si>
  <si>
    <t>Total outil générique (actions 1, 2 et 3) + filières (actions 4, 5 et 6) - sans  SubV. EJ Interreg</t>
  </si>
  <si>
    <t>Action 2  - Plateforme numérique et digitale</t>
  </si>
  <si>
    <t>Total Action 10 :  Interreg EJ</t>
  </si>
  <si>
    <t>TOTAL BUDGET  
Total outil générique (actions 1, 2 et 3) + filières (actions 4, 5 et 6) + Plan d'actions avec Interreg</t>
  </si>
  <si>
    <t>Tous types de commanditaires</t>
  </si>
  <si>
    <t>Fédérer les énergies</t>
  </si>
  <si>
    <t>printemps</t>
  </si>
  <si>
    <t xml:space="preserve">                Action 10 : Interreg/  Echappée Jurassienne (+/- divers) année 2020 - 2021</t>
  </si>
  <si>
    <t>Sous-total Action 5 : Oenotourisme, gastronomie et art de vivre  &gt; 30 000 €</t>
  </si>
  <si>
    <t>Printemps</t>
  </si>
  <si>
    <t>Saison hiver (nov &gt; Mars</t>
  </si>
  <si>
    <t>printemps / été / automne</t>
  </si>
  <si>
    <t>Actions 4 - Loisirs de pleine nature, itinérances, randonnée et trail - 4 saisons</t>
  </si>
  <si>
    <t>Belgique</t>
  </si>
  <si>
    <t>Eté</t>
  </si>
  <si>
    <t>Accueil blogueurs/ influenceurs spécialisé oenotourisme</t>
  </si>
  <si>
    <t>2ème semestre</t>
  </si>
  <si>
    <t>Printemps / Automne</t>
  </si>
  <si>
    <t>Printemps/ début été</t>
  </si>
  <si>
    <t>Annuel</t>
  </si>
  <si>
    <t>F - GB - D - NL</t>
  </si>
  <si>
    <t>Tous marchés</t>
  </si>
  <si>
    <t>Grand public + corporate</t>
  </si>
  <si>
    <t>Création charte graphique et contenus des panneaux RIS/ point de départ des "Balades entre les vignes" (14 balades) (hors achat mobilier)</t>
  </si>
  <si>
    <t>STRATEGIE DE COMMUNICATION
Kit de communication : Edition, vidéos, …</t>
  </si>
  <si>
    <t xml:space="preserve">Réalisation  KIT DE COM </t>
  </si>
  <si>
    <t xml:space="preserve">Campagne multi canale </t>
  </si>
  <si>
    <t xml:space="preserve">Printemps </t>
  </si>
  <si>
    <r>
      <t xml:space="preserve"> Photothèque  - </t>
    </r>
    <r>
      <rPr>
        <b/>
        <i/>
        <sz val="14"/>
        <rFont val="Calibri"/>
        <family val="2"/>
        <scheme val="minor"/>
      </rPr>
      <t xml:space="preserve">Gestion et enrichissement de contenu </t>
    </r>
  </si>
  <si>
    <r>
      <t xml:space="preserve"> Vidéothèque -  </t>
    </r>
    <r>
      <rPr>
        <b/>
        <i/>
        <sz val="14"/>
        <rFont val="Calibri"/>
        <family val="2"/>
        <scheme val="minor"/>
      </rPr>
      <t xml:space="preserve">Gestion et enrichissement de contenu </t>
    </r>
  </si>
  <si>
    <t xml:space="preserve">Opportunités </t>
  </si>
  <si>
    <t>Sous-total  Action 1 : Pack Jura &gt; Prévisionnel  135 000 € - Réajustement  + 35 000 € ( hiver )+ 30 000 action 2 Web + 20 000 € action 6 divers partenariats + 15000 € action 4 Outdoor</t>
  </si>
  <si>
    <t>Sous-total Action 2 : Plateforme numérique et digitale &gt;
  Prévisionnel 70 000 €- Réajustment  -  30 000 €</t>
  </si>
  <si>
    <t>Sous-total Action 3 : Presse RP Blogueurs  Prévisionnel &gt; 32 500 €
réajustement  + 6 400 €</t>
  </si>
  <si>
    <t>Sous-total Action 4 :  Outdoor + EJ  (hors subv. Interreg EJ ) &gt; Prévisionnel  100 000 € Réajusteement - 35000 € ( Hiver ) - 15 000 € (action1) - 6500 € (rp) = 43 500 €</t>
  </si>
  <si>
    <r>
      <t xml:space="preserve">Total Accompagnement Filières 
</t>
    </r>
    <r>
      <rPr>
        <b/>
        <sz val="22"/>
        <rFont val="Calibri"/>
        <family val="2"/>
        <scheme val="minor"/>
      </rPr>
      <t>Outdoor + EJ (hors sub Interreg EJ) + Oenotourisme</t>
    </r>
    <r>
      <rPr>
        <b/>
        <sz val="24"/>
        <rFont val="Calibri"/>
        <family val="2"/>
        <scheme val="minor"/>
      </rPr>
      <t xml:space="preserve"> - Prévisionnel  130000 € Réajustement 
</t>
    </r>
  </si>
  <si>
    <t xml:space="preserve">  TOTAL  Actions 1 + 2 + 3 / Outils génériques</t>
  </si>
  <si>
    <t xml:space="preserve"> Campagne  107.7 Autoroute  Info - 4 saisons </t>
  </si>
  <si>
    <t>Bourse touristique  budget spécial Relais Territorial.</t>
  </si>
  <si>
    <t>ENGAGE</t>
  </si>
  <si>
    <t>REALISE</t>
  </si>
  <si>
    <t>Licences site pro - Suivi/rapports SEO Webitics - Calaméo  172,80</t>
  </si>
  <si>
    <t>Noms de domaine  - Aire du Jura 228 €</t>
  </si>
  <si>
    <t xml:space="preserve"> Campagne digitale générique  4 saisons </t>
  </si>
  <si>
    <t>MARCHÉS A TRAVAILLER</t>
  </si>
  <si>
    <t>CIBLES</t>
  </si>
  <si>
    <t>TEMPORALITE</t>
  </si>
  <si>
    <r>
      <t>Orientations  MARKETING &gt; Grands axes inchangés s'inscrivant dans la feuille de route à 3 ans (2020-2023)</t>
    </r>
    <r>
      <rPr>
        <b/>
        <sz val="4"/>
        <color theme="1"/>
        <rFont val="Calibri"/>
        <family val="2"/>
        <scheme val="minor"/>
      </rPr>
      <t xml:space="preserve">
  </t>
    </r>
    <r>
      <rPr>
        <b/>
        <sz val="15"/>
        <color theme="1"/>
        <rFont val="Calibri"/>
        <family val="2"/>
        <scheme val="minor"/>
      </rPr>
      <t xml:space="preserve">&gt; Faire  vivre et valoriser la marque ombrelle destination Jura au bénéfice des territoires et des acteurs du tourisme. 
&gt; Structurer et Valoriser nos filières d’excellence au service de la marque de Destination JURA
Tourisme de nature et itinérances douces
</t>
    </r>
    <r>
      <rPr>
        <b/>
        <sz val="12"/>
        <color theme="1"/>
        <rFont val="Calibri"/>
        <family val="2"/>
        <scheme val="minor"/>
      </rPr>
      <t xml:space="preserve">(Les randonnées, le Trail, le vélo à assistance électrique, accessibilité aux sites de nature tels que lacs, cascades, événements à caractère de loisirs sportifs, culturelle et gastronomique…) ; 
</t>
    </r>
    <r>
      <rPr>
        <b/>
        <sz val="15"/>
        <color theme="1"/>
        <rFont val="Calibri"/>
        <family val="2"/>
        <scheme val="minor"/>
      </rPr>
      <t>Oenotourisme  et gastronomie – Art de vivre / Filière Neige et loisirs nordiques / Tourisme culturel et patrimonial / Tourisme de découverte économique.
&gt; Etablir un nouveau schéma départemental du Tourisme et des Loisirs : Contribuer à l’émergence de projets innovants et attractifs pour renouveler l’offre touristique du Jura. Faire évoluer l’offre vers un tourisme plus DURABLE, plus RESILIANT et plus DIVERSIFIE 4 saisons. 
&gt; Distribuer et vendre une offre JURA représentative de la destination autour d’un modèle mixe Vendeur/Place de marché. Accompagner la digitalisation de l’offre et du parcours clients.</t>
    </r>
  </si>
  <si>
    <r>
      <t xml:space="preserve">Contexte
</t>
    </r>
    <r>
      <rPr>
        <b/>
        <sz val="15"/>
        <color theme="1"/>
        <rFont val="Calibri"/>
        <family val="2"/>
      </rPr>
      <t>Le contexte de crise sanitaire  a bouleversé en profondeur les modèles traditionnels de la  filière du tourisme et implique de ré-inventer un nouveau tourisme de ressourcement et de découverte des territoires en phase avec les valeurs environnementales des destinations.  
La filière  est confrontée à deux grandes mutations : 
- La transformation de son modèle de production de l’offre pour un tourisme plus équilibré sur le territoire, plus résilient, plus durable, 
plus diversifié et tendant à une fréquentation mieux répartie sur l’ensemble de l’année.
- La transition numérique qui impacte durablement tous les métiers du tourisme de la promotion pour valoriser la destination 
et capter de nouvelles clientèles jusqu’à l’accueil des clientèles en séjours.</t>
    </r>
  </si>
  <si>
    <r>
      <t xml:space="preserve">Elaboration d'un nouveau Schéma Départemental du Tourisme et des Loisirs ( 2022-2027)
 </t>
    </r>
    <r>
      <rPr>
        <b/>
        <sz val="15"/>
        <color theme="1"/>
        <rFont val="Calibri"/>
        <family val="2"/>
        <scheme val="minor"/>
      </rPr>
      <t xml:space="preserve">Cette démarche permettra de redéfinir la stratégie de développement touristique du Jura autour du concept de plateforme globale d’attractivité touristique fondée sur une véritable marque JURA animée en partenariat avec le Département et les territoires.
</t>
    </r>
    <r>
      <rPr>
        <b/>
        <i/>
        <sz val="15"/>
        <color theme="1"/>
        <rFont val="Calibri"/>
        <family val="2"/>
        <scheme val="minor"/>
      </rPr>
      <t>Les enjeux et axes de travail du futur Schéma du Tourisme et des Loisirs</t>
    </r>
    <r>
      <rPr>
        <b/>
        <sz val="15"/>
        <color theme="1"/>
        <rFont val="Calibri"/>
        <family val="2"/>
        <scheme val="minor"/>
      </rPr>
      <t xml:space="preserve">  
-</t>
    </r>
    <r>
      <rPr>
        <b/>
        <sz val="15"/>
        <color theme="4" tint="-0.249977111117893"/>
        <rFont val="Calibri"/>
        <family val="2"/>
        <scheme val="minor"/>
      </rPr>
      <t xml:space="preserve"> Renforcer la compétitivité  durable de l’offre touristique, sa diversification </t>
    </r>
    <r>
      <rPr>
        <b/>
        <sz val="15"/>
        <color theme="1"/>
        <rFont val="Calibri"/>
        <family val="2"/>
        <scheme val="minor"/>
      </rPr>
      <t xml:space="preserve">et assurer la valorisation-protection des Grands Sites Remarquables.  
- </t>
    </r>
    <r>
      <rPr>
        <b/>
        <sz val="15"/>
        <color theme="4" tint="-0.249977111117893"/>
        <rFont val="Calibri"/>
        <family val="2"/>
        <scheme val="minor"/>
      </rPr>
      <t>Adapter les infrastructures, les produits et services pour répondre aux enjeux des transitions écologiques et numériques</t>
    </r>
    <r>
      <rPr>
        <b/>
        <sz val="15"/>
        <color theme="1"/>
        <rFont val="Calibri"/>
        <family val="2"/>
        <scheme val="minor"/>
      </rPr>
      <t xml:space="preserve"> &gt; Faciliter  la mobilité pour mieux capter et diffuser les flux. 
- </t>
    </r>
    <r>
      <rPr>
        <b/>
        <sz val="15"/>
        <color theme="4" tint="-0.249977111117893"/>
        <rFont val="Calibri"/>
        <family val="2"/>
        <scheme val="minor"/>
      </rPr>
      <t>Intégrer les enjeux du tourisme dans les politiques d’aménagement,</t>
    </r>
    <r>
      <rPr>
        <b/>
        <sz val="15"/>
        <color theme="1"/>
        <rFont val="Calibri"/>
        <family val="2"/>
        <scheme val="minor"/>
      </rPr>
      <t xml:space="preserve"> d’urbanisme et de gestion de l’espace et du territoire.
-</t>
    </r>
    <r>
      <rPr>
        <b/>
        <sz val="15"/>
        <color theme="4" tint="-0.249977111117893"/>
        <rFont val="Calibri"/>
        <family val="2"/>
        <scheme val="minor"/>
      </rPr>
      <t xml:space="preserve"> Accroitre l’attractivité du Jura, renforcer son image</t>
    </r>
    <r>
      <rPr>
        <b/>
        <sz val="15"/>
        <color theme="1"/>
        <rFont val="Calibri"/>
        <family val="2"/>
        <scheme val="minor"/>
      </rPr>
      <t xml:space="preserve"> et ses capacités de mise en marché de l’offre touristique. 
Adopter une gouvernance en assurant la cohérence et la complémentarité entre les territoires et les acteurs.</t>
    </r>
  </si>
  <si>
    <r>
      <t xml:space="preserve">Agence honoraires comprenant conseil stratégique, orga VP, rédaction des outils presse, reporting, orga VP et accueil presse / influenceurs
</t>
    </r>
    <r>
      <rPr>
        <sz val="12"/>
        <color rgb="FFFF0000"/>
        <rFont val="Calibri"/>
        <family val="2"/>
        <scheme val="minor"/>
      </rPr>
      <t>Appel d'offre recrutement nouvelle agence 2e semestre 2022</t>
    </r>
  </si>
  <si>
    <t>Jura + FR</t>
  </si>
  <si>
    <t>Début mai pour bourse</t>
  </si>
  <si>
    <t xml:space="preserve">mai &gt; Bourse </t>
  </si>
  <si>
    <t>Fin d'année</t>
  </si>
  <si>
    <t>surpression /campagne printemps+automne /Hiver</t>
  </si>
  <si>
    <t xml:space="preserve">janvier </t>
  </si>
  <si>
    <t>Amateurs d'itinérance et de randonnée : profil sportifs et randonneurs hédonistes plutôt sur les urbains et périurbains</t>
  </si>
  <si>
    <t>Intégration à France Vélo Tourisme : priorité 1 = TJS puis TJL (lien avec le CRT à trouver)</t>
  </si>
  <si>
    <r>
      <t>Accueil presse et blog spécialisé =</t>
    </r>
    <r>
      <rPr>
        <sz val="12"/>
        <color rgb="FFFF0000"/>
        <rFont val="Calibri"/>
        <family val="2"/>
        <scheme val="minor"/>
      </rPr>
      <t xml:space="preserve"> budget RP</t>
    </r>
  </si>
  <si>
    <t>Consolider l'image  et la notoriété du Jura en tant que Destination 4 SAISONS  &gt; Discours de com  en lien avec le  positionnement et les grands évènements de l'année ( FIS, Pasteur, TDF…)</t>
  </si>
  <si>
    <t>Référencer le Jura comme une destination 4 saisons  avec un positionnement ancré et avant gardiste (durable , savoir faire) hors tour eiffel</t>
  </si>
  <si>
    <t>France &gt; Jura Tourisme
Pays Bas, Allemagne, Belgique, Suisse avec le CRT (gamme itinérance)</t>
  </si>
  <si>
    <t>Sportifs -&gt; vélo route, VTT et VTTAE = offre : boucles cyclo, cols et boucles VTT) 
Loisirs habitués = offre : boucles cyclo et cols
Itinérants vélo habitués = offre : TJS</t>
  </si>
  <si>
    <t>Contribuer à la structuration/qualification des filières-produits pour en assurer la promotion et la distribution auprès du Grand Public (btob pôle commercial)</t>
  </si>
  <si>
    <t>France dont Lyon et Paris + Suisse (romande et alémanique) à travers notre partenariat avec Nyon Région Tourisme</t>
  </si>
  <si>
    <t>Renforcer la notoriété image sur le produit - Référencer l'EJ auprès du marché France et Suisse</t>
  </si>
  <si>
    <t>Printemps
&gt; date butoire fin juin 2022</t>
  </si>
  <si>
    <t>Epicuriens + touristes en séjour</t>
  </si>
  <si>
    <t>Inciter à la découverte du vignoble auprès des touristes de séjour et/ou de proximité</t>
  </si>
  <si>
    <t>F - GB - D- NL ?</t>
  </si>
  <si>
    <t xml:space="preserve">Consolider la visibilité de la destination  (SEO), faciliter l'accès à l'information en préparation et lors du séjour, et être site de référence pour les locaux </t>
  </si>
  <si>
    <t>Augmenter la notoriété de la destination Jura à vélo à travers la promotion de ses offres de parcours vitrines et de séjours vélo</t>
  </si>
  <si>
    <r>
      <rPr>
        <b/>
        <sz val="20"/>
        <color theme="1"/>
        <rFont val="Calibri"/>
        <family val="2"/>
        <scheme val="minor"/>
      </rPr>
      <t xml:space="preserve">Stratégie de communication </t>
    </r>
    <r>
      <rPr>
        <b/>
        <sz val="24"/>
        <color theme="1"/>
        <rFont val="Calibri"/>
        <family val="2"/>
        <scheme val="minor"/>
      </rPr>
      <t xml:space="preserve">
</t>
    </r>
    <r>
      <rPr>
        <b/>
        <sz val="15"/>
        <color theme="1"/>
        <rFont val="Calibri"/>
        <family val="2"/>
        <scheme val="minor"/>
      </rPr>
      <t xml:space="preserve">Elaboration du plan d'actions de  promotion/communication en tenant compte :
&gt;  des enjeux du  nouveau positionnement </t>
    </r>
    <r>
      <rPr>
        <b/>
        <i/>
        <sz val="15"/>
        <color theme="1"/>
        <rFont val="Calibri"/>
        <family val="2"/>
        <scheme val="minor"/>
      </rPr>
      <t>( les valeurs de la marque )</t>
    </r>
    <r>
      <rPr>
        <b/>
        <sz val="15"/>
        <color theme="1"/>
        <rFont val="Calibri"/>
        <family val="2"/>
        <scheme val="minor"/>
      </rPr>
      <t xml:space="preserve"> pour les prises de parole et le discours de communication
&gt; du choix des marchés cible privilégiant les marchés à fort potentiel
-</t>
    </r>
    <r>
      <rPr>
        <b/>
        <i/>
        <sz val="15"/>
        <color theme="1"/>
        <rFont val="Calibri"/>
        <family val="2"/>
        <scheme val="minor"/>
      </rPr>
      <t xml:space="preserve"> Marchés de proximité : Gros bassins émetteurs  à 1H30/2H du Jura  incluant la Suisse 
- Marchés plus éloignés : Paris Ile de France /Hauts de France - Pays de Loire selon opportunités .
 - Marchés étrangers : Pays-Bas, Allemagne, Belgique en collaboration avec le CRT/MDJ
&gt; </t>
    </r>
    <r>
      <rPr>
        <b/>
        <sz val="15"/>
        <color theme="1"/>
        <rFont val="Calibri"/>
        <family val="2"/>
        <scheme val="minor"/>
      </rPr>
      <t>des segments de clientèles</t>
    </r>
    <r>
      <rPr>
        <b/>
        <i/>
        <sz val="15"/>
        <color theme="1"/>
        <rFont val="Calibri"/>
        <family val="2"/>
        <scheme val="minor"/>
      </rPr>
      <t xml:space="preserve"> Cibles  urbaines/Péri-urbaines en quête de nature,de calme et de sens et des cibles affinitaires via les collectifs /filières 
&gt; </t>
    </r>
    <r>
      <rPr>
        <b/>
        <sz val="15"/>
        <color theme="1"/>
        <rFont val="Calibri"/>
        <family val="2"/>
        <scheme val="minor"/>
      </rPr>
      <t>en concentrant les moyens et en  fédérant les budgets des partenaires.</t>
    </r>
  </si>
  <si>
    <t xml:space="preserve">Outdoor (prioritaire Vélo ) +rando /VTT/Trail) selon opportunité </t>
  </si>
  <si>
    <r>
      <rPr>
        <b/>
        <sz val="12"/>
        <rFont val="Calibri"/>
        <family val="2"/>
        <scheme val="minor"/>
      </rPr>
      <t xml:space="preserve"> REF /Doc de travail VQ  /  -  Support matrice pour   Atelier N°3  arbitrage avec le DR.- Mercredi 24 /11/2021- Matrice PREVISIONNEL  plan d'actions 2022 - </t>
    </r>
    <r>
      <rPr>
        <b/>
        <i/>
        <sz val="12"/>
        <color theme="1"/>
        <rFont val="Calibri"/>
        <family val="2"/>
        <scheme val="minor"/>
      </rPr>
      <t xml:space="preserve">
</t>
    </r>
  </si>
  <si>
    <t>Budget pouvant évoluer en fonction des opportunités RP.</t>
  </si>
  <si>
    <r>
      <rPr>
        <b/>
        <sz val="14"/>
        <color rgb="FFFF0000"/>
        <rFont val="Calibri"/>
        <family val="2"/>
        <scheme val="minor"/>
      </rPr>
      <t xml:space="preserve">A confirmer </t>
    </r>
    <r>
      <rPr>
        <b/>
        <sz val="14"/>
        <rFont val="Calibri"/>
        <family val="2"/>
        <scheme val="minor"/>
      </rPr>
      <t xml:space="preserve">&gt; Adhésion gamme oenotourisme CRT </t>
    </r>
  </si>
  <si>
    <t>Date du réalisé</t>
  </si>
  <si>
    <t>Date engagement</t>
  </si>
  <si>
    <t>Accueils blogueurs / influenceurs</t>
  </si>
  <si>
    <t>DEPENSES BUDGET PREVISIONNEL 2022   -  Codir /CA 25/10/2021 - Bureau 4/01 - Validation réunion de pôle  du 6/01 s.c JPC</t>
  </si>
  <si>
    <r>
      <t xml:space="preserve">Selon décisions atelier Web du 1/12/2021 &gt; </t>
    </r>
    <r>
      <rPr>
        <b/>
        <sz val="12"/>
        <rFont val="Calibri"/>
        <family val="2"/>
        <scheme val="minor"/>
      </rPr>
      <t>Décision du 6/01 refonte du site à prévoir pour 2023 -</t>
    </r>
    <r>
      <rPr>
        <sz val="12"/>
        <rFont val="Calibri"/>
        <family val="2"/>
        <scheme val="minor"/>
      </rPr>
      <t xml:space="preserve"> Opportunité </t>
    </r>
  </si>
  <si>
    <t xml:space="preserve">Intégration Décibelles Data (fonctionnement) -changement SIT Iris 4 575€ - décision le 13/09 de reporter le solde en 2022 à la finition  des travaux </t>
  </si>
  <si>
    <t xml:space="preserve">Argus de la presse-   abonnement argus 306 € -Centre d'exploitation du droit de copie   440 € - cision redevance droits d'auteur 1 522,80 € ( avoir année n-1 )  </t>
  </si>
  <si>
    <t xml:space="preserve">Réalisation d'un doc print  ( créa interne) &gt; Poste  impression </t>
  </si>
  <si>
    <t>Actions reventilées sur budget InterReg 3/02  ( print , web..)</t>
  </si>
  <si>
    <t>O</t>
  </si>
  <si>
    <t>Campagne web partie 2 (AD my sport) - Campagne digitale outdooractive 3 588 €-Campagneweb  ADMySport 7500€</t>
  </si>
  <si>
    <t>Influenceurs Droits Photos -Lovelitravel 160€</t>
  </si>
  <si>
    <t xml:space="preserve">Partenariat helloways - Plateforme itinéraire  Rando  + Blog "en voiture simone " - Accueil influenceur </t>
  </si>
  <si>
    <t xml:space="preserve">  Surpression saisons  -Mix marketing  ON et OFF Line</t>
  </si>
  <si>
    <t>Gestion de contenu (photos, texte, vidéo)</t>
  </si>
  <si>
    <t xml:space="preserve">Réalisation carte postale &gt; Impression </t>
  </si>
  <si>
    <t>Financement européen à hauteur de 60% des dépenses</t>
  </si>
  <si>
    <t>Dossier de presse + accueil presse et blog</t>
  </si>
  <si>
    <t>Création et envoi de newsletter spécifique 5 avril  emailing ..openrunner..EJ 2160 €</t>
  </si>
  <si>
    <t>Campagnes print et web spécialisées vélo (Openrunner e mailing  11 mai , carnets d'aventures, outdoor Go, FFVélo…) + newsletters vélo openrunner (2160€)</t>
  </si>
  <si>
    <r>
      <rPr>
        <b/>
        <sz val="14"/>
        <color theme="1"/>
        <rFont val="Calibri"/>
        <family val="2"/>
        <scheme val="minor"/>
      </rPr>
      <t>Printemps</t>
    </r>
    <r>
      <rPr>
        <sz val="12"/>
        <color theme="1"/>
        <rFont val="Calibri"/>
        <family val="2"/>
        <scheme val="minor"/>
      </rPr>
      <t xml:space="preserve"> / Campagne - Année 3 affichage LYON JC Decaux - HA Espace print abribus  15 113,46 €-Digital  5103,47€ - agence créa Esprit Nomade  2869,60€ - Droits photos en attente des devis - Godin  924 €-N.Gascard  1050 €
 </t>
    </r>
  </si>
  <si>
    <r>
      <t xml:space="preserve">HA  d'espaces - achats d'espace  print 
</t>
    </r>
    <r>
      <rPr>
        <sz val="12"/>
        <color rgb="FFFF0000"/>
        <rFont val="Calibri"/>
        <family val="2"/>
        <scheme val="minor"/>
      </rPr>
      <t>=&gt; report budget op promo sur le web/HA d'espaces en attente retour Copil EJ.</t>
    </r>
    <r>
      <rPr>
        <sz val="12"/>
        <rFont val="Calibri"/>
        <family val="2"/>
        <scheme val="minor"/>
      </rPr>
      <t xml:space="preserve"> TREK MAG ( CV4 +contenu)6 000 €- Partenariat Fédé  printemps 2 pages publi-reportage 6 600 €
Pub carnets d'aventure 1632 € ( N°67 avri mai juin °  ) Doc du psort  /Rando santé  1page Pub  1080 €</t>
    </r>
  </si>
  <si>
    <t>Campagne Jura outdoor.com en local -PQR - PUB Le Progrès Guide Balade 2352 € -  Actu.fr appli jura outdoor 2 754 € - Campagne  digitale semply  1998,60 € - Le Progrès .fr 1 862,17€ - Flyers + affiches appli outdoor235,20</t>
  </si>
  <si>
    <r>
      <t>OP Pomo /salons : Salon randonneur de Lyon 36m²  du 25 au 27 mars : stand 36m² (13 656 € + 1560 € Led  Salon Paris Destination Nature   du 17 au 20 mars - espace BFC ( 300 € ) -supports visuels bq 248,40€ + loc bq 1497,60€+507,36</t>
    </r>
    <r>
      <rPr>
        <sz val="12"/>
        <color rgb="FFFF0000"/>
        <rFont val="Calibri"/>
        <family val="2"/>
        <scheme val="minor"/>
      </rPr>
      <t xml:space="preserve">
=&gt; Redimensionnement du montant de 35K à 20K  &gt; validé en COPIL EJ  le 27/01/2022 en raison de la crise covid ayant annulé les salons.</t>
    </r>
    <r>
      <rPr>
        <sz val="12"/>
        <rFont val="Calibri"/>
        <family val="2"/>
        <scheme val="minor"/>
      </rPr>
      <t xml:space="preserve">goodies étiquettes 378 € dimo - </t>
    </r>
  </si>
  <si>
    <t>Reportage photos  - haut-Jura St-Claude  3861 € ( 50 % CDT ) 
co-partenariat Porte du Jura
Reportage produits AOC gastronomie Studios image   1500 €</t>
  </si>
  <si>
    <t xml:space="preserve">Diffusion des itinéraires vitrines (TJS, TJL, EJ…) sur les sites référents + rédacteurs  C.Trossat 25 € par texte soit  1250 € pour 50 textes: outdoor active, IGN, Openrunner, Utagawa, Helloways, cirkwi, visugpx…
Mise à jour brochure Eurovélo 6 - 2612,77 € ( refacturation OT Dole 360 € TTC ) 
</t>
  </si>
  <si>
    <r>
      <t xml:space="preserve">PRINT - </t>
    </r>
    <r>
      <rPr>
        <b/>
        <u/>
        <sz val="12"/>
        <rFont val="Calibri"/>
        <family val="2"/>
        <scheme val="minor"/>
      </rPr>
      <t>Magazine Jura #5</t>
    </r>
    <r>
      <rPr>
        <sz val="12"/>
        <rFont val="Calibri"/>
        <family val="2"/>
        <scheme val="minor"/>
      </rPr>
      <t xml:space="preserve"> - </t>
    </r>
    <r>
      <rPr>
        <b/>
        <sz val="12"/>
        <rFont val="Calibri"/>
        <family val="2"/>
        <scheme val="minor"/>
      </rPr>
      <t>50 000 ex</t>
    </r>
    <r>
      <rPr>
        <sz val="12"/>
        <rFont val="Calibri"/>
        <family val="2"/>
        <scheme val="minor"/>
      </rPr>
      <t xml:space="preserve"> (Français  41 000 ex + langues étrangères  -5 000 ex GB - 4 000 ex  D - poste impression V2  Estimprim  53 594€ TTC - Esprit Nomade  12 695 €  + 8 pages  717,40 € TTC-= </t>
    </r>
    <r>
      <rPr>
        <u/>
        <sz val="12"/>
        <rFont val="Calibri"/>
        <family val="2"/>
        <scheme val="minor"/>
      </rPr>
      <t>7680,40 € TTC</t>
    </r>
    <r>
      <rPr>
        <b/>
        <sz val="12"/>
        <rFont val="Calibri"/>
        <family val="2"/>
        <scheme val="minor"/>
      </rPr>
      <t xml:space="preserve"> </t>
    </r>
    <r>
      <rPr>
        <sz val="12"/>
        <rFont val="Calibri"/>
        <family val="2"/>
        <scheme val="minor"/>
      </rPr>
      <t xml:space="preserve"> rédaction KG  5400 € (contenu pages +RVCom/com ) AMClerc  3 840 € ( contenu pages )  + 4 pages savoir faire 600 €- Relecture  MAG 780 € AMC et 780 € KG.Droits photos Agence zoom QFM 427,35€ - Studio Vision 99 €-
Indemnités agences 500 €/agence  (yata-rectangle-Midi à 14H-Staccato-Le Progrès)  </t>
    </r>
    <r>
      <rPr>
        <b/>
        <sz val="12"/>
        <rFont val="Calibri"/>
        <family val="2"/>
        <scheme val="minor"/>
      </rPr>
      <t>Trad Abaque 4016,40€</t>
    </r>
    <r>
      <rPr>
        <sz val="12"/>
        <rFont val="Calibri"/>
        <family val="2"/>
        <scheme val="minor"/>
      </rPr>
      <t xml:space="preserve"> - AM Diffusion 400 €-</t>
    </r>
  </si>
  <si>
    <t>Partir en France - Train 93€air pur + hôtel 142,78+ BQ partagée 864,50 € - frais Tiphaine  19,62 €- frais billets / annulation Laetitia Gouiller 134 €</t>
  </si>
  <si>
    <t>Voyage de presse  ou blog trip - VP savoir faire annulé - VP Automne Merc. 12 oct.Jeudi 13 oct.Vend 14 oct.</t>
  </si>
  <si>
    <t>Surpression Campagne digitale  - Semply 20 047,80 € + surpression Lyon 1320 €-le Progrès 13 535,31 €</t>
  </si>
  <si>
    <r>
      <rPr>
        <b/>
        <sz val="12"/>
        <rFont val="Calibri"/>
        <family val="2"/>
        <scheme val="minor"/>
      </rPr>
      <t xml:space="preserve"> Accompagnement par une agence média et ou personne(S) ressource  pour production de contenu . Enrichissement SIT ou vaorisation contenu  du site (  </t>
    </r>
    <r>
      <rPr>
        <sz val="12"/>
        <rFont val="Calibri"/>
        <family val="2"/>
        <scheme val="minor"/>
      </rPr>
      <t xml:space="preserve">photos, textes + mini clip(S) vidéos…+  5 articles KG   1300 € TTC+ rédacteurs -Contenu blogueurs : Hellolaroux 5100 €  SAM FAIT VOYAGER  853,92 €  (article ,photos )    - Itinéra Magica  1550 €  ( 750 € foehn photos payé) - Prépare ta valise  900 € HA 20 Photos -   Auguste et Léopold 960 € diag RS
  </t>
    </r>
    <r>
      <rPr>
        <u/>
        <sz val="12"/>
        <rFont val="Calibri"/>
        <family val="2"/>
        <scheme val="minor"/>
      </rPr>
      <t>Préco:</t>
    </r>
    <r>
      <rPr>
        <sz val="12"/>
        <rFont val="Calibri"/>
        <family val="2"/>
        <scheme val="minor"/>
      </rPr>
      <t xml:space="preserve"> Exploitation des rushs pour réalisation en interne de Mini-Clips à  contenu(s)diversifiés incarnant le positionnement  -</t>
    </r>
    <r>
      <rPr>
        <b/>
        <sz val="12"/>
        <rFont val="Calibri"/>
        <family val="2"/>
        <scheme val="minor"/>
      </rPr>
      <t xml:space="preserve">                </t>
    </r>
    <r>
      <rPr>
        <b/>
        <sz val="12"/>
        <color rgb="FFFF0000"/>
        <rFont val="Calibri"/>
        <family val="2"/>
        <scheme val="minor"/>
      </rPr>
      <t xml:space="preserve">     2 ème semestre &gt; Prévoir de  réaliser un  Clip de positionnement   budget à redimensionner suite au travail à engager avec l'agence de com à recruter.</t>
    </r>
    <r>
      <rPr>
        <sz val="12"/>
        <rFont val="Calibri"/>
        <family val="2"/>
        <scheme val="minor"/>
      </rPr>
      <t xml:space="preserve"> </t>
    </r>
  </si>
  <si>
    <t>TMA- Forfait 30 Heures</t>
  </si>
  <si>
    <t>REPORT BUDGET 2021 : Organisation d'un événement coorporate - Inauguration  30 Juin - HA 50 Movibook  2 065,20 €  + 539 € midi à 14H - fils Anne Mathie 21,40 €  + 307,80 € crémant  pignier- ABM Impression DP214,80 € -Boite àLoc 110 €
buffet + Loc salle  isard Event 3101,68 - Ruban 206,40 €</t>
  </si>
  <si>
    <t xml:space="preserve">Ajaris (photothèque) - Licence + stockage + mise à jour photothèque par ajaris (zone RIS, nouvelles communes, …) - 3409,30  coût récurrent droits de stockage ajaris </t>
  </si>
  <si>
    <t>Surpression Campagne digitale  - 2 ème semestre</t>
  </si>
  <si>
    <r>
      <t xml:space="preserve">Total action 6 : 
</t>
    </r>
    <r>
      <rPr>
        <b/>
        <sz val="16"/>
        <color theme="1"/>
        <rFont val="Calibri"/>
        <family val="2"/>
        <scheme val="minor"/>
      </rPr>
      <t>Partenariats &gt; 30 000 € - 20 000 € (action 1) + 15 000 € 
réarbitrage ligne oeno le 13/09</t>
    </r>
  </si>
  <si>
    <r>
      <t xml:space="preserve">Reportage shooting photos et vidéos  -les 2 tours du Jura loisir et sportif  la Peignée verticale ( 11 782 € )  - Abaque  8,80€ panneau RIR vélo - </t>
    </r>
    <r>
      <rPr>
        <sz val="12"/>
        <color rgb="FFFF0000"/>
        <rFont val="Calibri"/>
        <family val="2"/>
        <scheme val="minor"/>
      </rPr>
      <t xml:space="preserve">Décision le 13 sept  de reporter le reportage avec la Peignée Verticale en 2023 - facture d'acompte payée  2 954,20 budget 2022. (Budget à flécher en  2023 = 8 827,80 € ) </t>
    </r>
  </si>
  <si>
    <t>Supports presse - impression DP- 1 DP printemps anglé pasteur  saisons - 1DP Hiver + 2Mini DP (circuits courts/Agrito + Savoir faire ) - Créa DP 1 er semestre + Invit VP 1815 € -  DP épicurien Automne + carton VP = 1210 €- DP Hiver Midi à 14H 1 210 €</t>
  </si>
  <si>
    <t xml:space="preserve">A planifier &gt;  Appel d'offres &gt; Elaboration charte  graphique pour incarner le positionnement &gt; Promesse client.
Accompagnement Esprit Nomade  ( couv crte to 717,40€, posters 1434,80 € ,TMA 35 h  soit 3138,63 € )- Audit portefeuille des marques du CDT </t>
  </si>
  <si>
    <r>
      <rPr>
        <b/>
        <sz val="12"/>
        <rFont val="Calibri"/>
        <family val="2"/>
        <scheme val="minor"/>
      </rPr>
      <t>Opportunités : 
Frais de vie Salons rando Paris</t>
    </r>
    <r>
      <rPr>
        <sz val="12"/>
        <rFont val="Calibri"/>
        <family val="2"/>
        <scheme val="minor"/>
      </rPr>
      <t xml:space="preserve"> : Appart hotel addagio Vanves (419,52 € +100,23€) - train paris 86,90€ + 104,70€+101,30 frais Am - DO 182,65
</t>
    </r>
    <r>
      <rPr>
        <b/>
        <sz val="12"/>
        <rFont val="Calibri"/>
        <family val="2"/>
        <scheme val="minor"/>
      </rPr>
      <t>Frais de vie Salons rando Lyon</t>
    </r>
    <r>
      <rPr>
        <sz val="12"/>
        <rFont val="Calibri"/>
        <family val="2"/>
        <scheme val="minor"/>
      </rPr>
      <t xml:space="preserve"> : Hotel Ibis Lyon 347,90 € - FS 161,21 - 138,90€ &gt;&gt;Recettes 9 000 €
</t>
    </r>
    <r>
      <rPr>
        <b/>
        <sz val="12"/>
        <rFont val="Calibri"/>
        <family val="2"/>
        <scheme val="minor"/>
      </rPr>
      <t>Magazine echo N°2 - fiche navette CQFR</t>
    </r>
    <r>
      <rPr>
        <sz val="12"/>
        <rFont val="Calibri"/>
        <family val="2"/>
        <scheme val="minor"/>
      </rPr>
      <t xml:space="preserve"> : Impression ABM (321,60 €) - envoi Esat 723,34€ (150 € accompte + 573,34 €)
</t>
    </r>
    <r>
      <rPr>
        <b/>
        <sz val="12"/>
        <rFont val="Calibri"/>
        <family val="2"/>
        <scheme val="minor"/>
      </rPr>
      <t>DIVERS</t>
    </r>
    <r>
      <rPr>
        <sz val="12"/>
        <rFont val="Calibri"/>
        <family val="2"/>
        <scheme val="minor"/>
      </rPr>
      <t xml:space="preserve"> : Pub rectangle carnets d'aventure et trek mag (960 €) - Traduction abaque (27,52€) - 4 vestes floquées EJ Pano (230,40 €)- ABM carte invit 66€ + 66 € - Frais de vie blogueur  helloways 58 €-
</t>
    </r>
  </si>
  <si>
    <t xml:space="preserve">Photographes Droits photos contrat annuel (renouvellement de droits ) - S.Godin 7480 €  +  doits photos Tour du Jura à vélo  616 € G.François  375€ - Nicolas Gascard  10 +120 €=1 440€
</t>
  </si>
  <si>
    <t xml:space="preserve">FICHES BALADES
Poursuite de réalisation des Fiches balades
13 fiches balades entre les vignes sur 2021/2022
6 fiches réalisées + 2  fiches 3 volets en cours- YATA  1628 € + LIG Impression 507,60 - </t>
  </si>
  <si>
    <t>Recette  64 % Fonds leader soit 36 % CD</t>
  </si>
  <si>
    <t>Ecarts /estimation /Réalisé</t>
  </si>
  <si>
    <t>Posters … impression posters  132 €</t>
  </si>
  <si>
    <t>Co-partenariat vidéo - Asso ARTHEMUS - PEV -France 3 BFC-BUDGET 2023</t>
  </si>
  <si>
    <t>Reportage photo oeno Becker  3 000 € - Vidéo crash records 2 444 € - frais de vie NB 163,45</t>
  </si>
  <si>
    <t xml:space="preserve">Actions 5 - Oenotourisme, gastronomie et art de vivre - Budget  prévisionnel 30 000 CDT  &gt;  arbitrage  et redimensionnement le 13 /09 par JPC  15 000 €  + 4 900 € ( CRT le 25/10 ) </t>
  </si>
  <si>
    <t>Nov</t>
  </si>
  <si>
    <r>
      <rPr>
        <b/>
        <sz val="11"/>
        <color rgb="FFFF0000"/>
        <rFont val="Calibri"/>
        <family val="2"/>
        <scheme val="minor"/>
      </rPr>
      <t xml:space="preserve">A étudier  </t>
    </r>
    <r>
      <rPr>
        <sz val="11"/>
        <rFont val="Calibri"/>
        <family val="2"/>
        <scheme val="minor"/>
      </rPr>
      <t>&gt; RV à fixer vec le Dr du CIVJ .Guide du vignoble (mise à jour ou refonte) avec carte du Vignoble  -</t>
    </r>
    <r>
      <rPr>
        <sz val="12"/>
        <color rgb="FFFF0000"/>
        <rFont val="Calibri"/>
        <family val="2"/>
        <scheme val="minor"/>
      </rPr>
      <t xml:space="preserve"> Ligne à garder  pour les rencontres de l'oeno - V et D - Traiteur 1024,50 - Loc salle 1095 €</t>
    </r>
    <r>
      <rPr>
        <sz val="11"/>
        <rFont val="Calibri"/>
        <family val="2"/>
        <scheme val="minor"/>
      </rPr>
      <t xml:space="preserve">
impression flyer 73,20</t>
    </r>
  </si>
  <si>
    <t>Achat de nouvelles photos - 25 photos B.Becker  3 000 €-  bq  d'images adobe stock - Emotion Jura  120 € - Droits photos Zoom QFM  1100 €</t>
  </si>
  <si>
    <t>Accueils presse journalistes - Bougez Vert - Wider -Météo à la carte - Auto Rétro - Le Routard- Cuisine et Vins de France-Le Figaro</t>
  </si>
  <si>
    <t>Accompagnement  agence web IRIS INTERACTIVE - Developpt web</t>
  </si>
  <si>
    <t xml:space="preserve">Partenariat annuel  global  24 000  € - ( campagne diff spots + Réalisation  de 2 spots - 1 réalisé spot attractivité 480 €  + un format émission magazine (interviews )- valorisation spot Fréquence plus WCPerché du 27 au 30/09.
</t>
  </si>
  <si>
    <t xml:space="preserve"> 2 vidéos Mizenboite  = 1 carte de vœux    + 1 minute digest coupe du monde 4 saisons  2 322 € - marquage véhicule 2415,60 Visualis</t>
  </si>
  <si>
    <t xml:space="preserve">Partenariat territoire  - Pub Clévacances outdoor  300€ - Pub hebdo haut-jura outdoor 964,75 €
</t>
  </si>
  <si>
    <t>SITV COLMAR - Ven 11/11 - Sam 12 - Dim 13/11 - loc mobilier 2348,40€ - 
PLV -Frais de vie FS dont hôtel 483,34 €- Lucile  90,62 €</t>
  </si>
  <si>
    <r>
      <t xml:space="preserve">Campagne  digitale  Semply - Offres saison automne séjours oeno  (  + 2 400 € service commercial ) + PUB DBM  dossier 4 pages 3 000 € + actions à programmer d'ici fin d'année ( Jur'Aventures - parcours oeno  ? )
</t>
    </r>
    <r>
      <rPr>
        <b/>
        <sz val="11"/>
        <rFont val="Calibri"/>
        <family val="2"/>
        <scheme val="minor"/>
      </rPr>
      <t xml:space="preserve">Recette CRT 4 900 €  </t>
    </r>
    <r>
      <rPr>
        <sz val="11"/>
        <rFont val="Calibri"/>
        <family val="2"/>
        <scheme val="minor"/>
      </rPr>
      <t xml:space="preserve"> ( 3 000 € TTC DBM-Surpression  digitale 1 900 € ) </t>
    </r>
  </si>
  <si>
    <t xml:space="preserve">Recette   CRT 4900 €
 3 000 € pour HA publi-rédac DBM - 1900 € à flécher sur 2023 pour surpression digitale </t>
  </si>
  <si>
    <r>
      <rPr>
        <b/>
        <sz val="12"/>
        <rFont val="Calibri"/>
        <family val="2"/>
        <scheme val="minor"/>
      </rPr>
      <t>Opportunité &gt; Foire de Libramont ? (29 au 1er août 2022) -</t>
    </r>
    <r>
      <rPr>
        <sz val="12"/>
        <rFont val="Calibri"/>
        <family val="2"/>
        <scheme val="minor"/>
      </rPr>
      <t xml:space="preserve"> Marché Belge (selon les consignes CD = </t>
    </r>
    <r>
      <rPr>
        <b/>
        <sz val="12"/>
        <color rgb="FFFF0000"/>
        <rFont val="Calibri"/>
        <family val="2"/>
        <scheme val="minor"/>
      </rPr>
      <t>BUDGET dédié)</t>
    </r>
    <r>
      <rPr>
        <sz val="12"/>
        <rFont val="Calibri"/>
        <family val="2"/>
        <scheme val="minor"/>
      </rPr>
      <t xml:space="preserve">  
- HA  matériel  cadre roll up Top stand  1860€ -  </t>
    </r>
    <r>
      <rPr>
        <b/>
        <sz val="12"/>
        <rFont val="Calibri"/>
        <family val="2"/>
        <scheme val="minor"/>
      </rPr>
      <t xml:space="preserve">Régal EXPO  </t>
    </r>
    <r>
      <rPr>
        <sz val="12"/>
        <rFont val="Calibri"/>
        <family val="2"/>
        <scheme val="minor"/>
      </rPr>
      <t>Top stand 9 480 € + 1 848 € - Emotion Jura reportge photos  180 €- droits photos Godin 242 €- HA vins inauguration 208,97 € + 27</t>
    </r>
  </si>
  <si>
    <r>
      <t xml:space="preserve">Opportunité + HA D'espaces insertion PQR en lien avec les campagnes saison / valorisation évènements /Actus…  </t>
    </r>
    <r>
      <rPr>
        <b/>
        <sz val="12"/>
        <rFont val="Calibri"/>
        <family val="2"/>
        <scheme val="minor"/>
      </rPr>
      <t xml:space="preserve">Valorisation Jura Aventure (escape game )   1 pagePUB  balades estivales Voix du Jura 2700 € </t>
    </r>
    <r>
      <rPr>
        <sz val="12"/>
        <rFont val="Calibri"/>
        <family val="2"/>
        <scheme val="minor"/>
      </rPr>
      <t xml:space="preserve">- flyer et affiches 373,20 € 165,60 € - Semply digital  1998,60 € </t>
    </r>
    <r>
      <rPr>
        <b/>
        <sz val="12"/>
        <rFont val="Calibri"/>
        <family val="2"/>
        <scheme val="minor"/>
      </rPr>
      <t>Achat de clés USB pour encodage  sélection Top vidéos à destination des socio-pros  .</t>
    </r>
    <r>
      <rPr>
        <sz val="12"/>
        <rFont val="Calibri"/>
        <family val="2"/>
        <scheme val="minor"/>
      </rPr>
      <t>(1137,60 €) -  DBM 2 pages + 1 PUB  2760 € - L'inattendu  1 page quadri 2 160 €-l'incontournable 6 000 € - VA éVient  5760 € - Le Petit Futé  1440 € - N°39  4560 € - Hebdo 39- 805,14€- 
Travaux impression 159,60 €- Dimo PLV polos 274,90€</t>
    </r>
  </si>
  <si>
    <t>Divers - Impression posters  144  € - -PLV 848,88 tente TDF - Photo  extension droits pour CD ( appli panneaux sucettes Appli outddor  440 + 60 ) -  PLV socle bois 214,90</t>
  </si>
  <si>
    <r>
      <rPr>
        <i/>
        <sz val="14"/>
        <rFont val="Calibri"/>
        <family val="2"/>
        <scheme val="minor"/>
      </rPr>
      <t>Hiver n-1 .frais campagne JC Decaux n-1 (1730,60 € )- solde clear channel  2 202,20 € droits Photos Godin 1196,80 €Hiver</t>
    </r>
    <r>
      <rPr>
        <i/>
        <sz val="12"/>
        <rFont val="Calibri"/>
        <family val="2"/>
        <scheme val="minor"/>
      </rPr>
      <t xml:space="preserve"> </t>
    </r>
    <r>
      <rPr>
        <u/>
        <sz val="12"/>
        <rFont val="Calibri"/>
        <family val="2"/>
        <scheme val="minor"/>
      </rPr>
      <t xml:space="preserve"> </t>
    </r>
    <r>
      <rPr>
        <b/>
        <u/>
        <sz val="12"/>
        <rFont val="Calibri"/>
        <family val="2"/>
        <scheme val="minor"/>
      </rPr>
      <t>Campagne Hiver 2022/2023</t>
    </r>
    <r>
      <rPr>
        <b/>
        <sz val="12"/>
        <rFont val="Calibri"/>
        <family val="2"/>
        <scheme val="minor"/>
      </rPr>
      <t xml:space="preserve">  dispositif travaillé en collectif </t>
    </r>
    <r>
      <rPr>
        <sz val="12"/>
        <rFont val="Calibri"/>
        <family val="2"/>
        <scheme val="minor"/>
      </rPr>
      <t xml:space="preserve">-
JC Decaux -affichage digital Dooh 9/01 au 21/01= 5 364 € -affichage  2m2 = 11 891,20 € - Grands reportages - reportage sponsorisé 16 pages  + 2000 ex- 9360 € Campagne digitale semply 5/12 au 15/03 9 899,28€+surpression Lyon 5/01 au 17/01 31156 € </t>
    </r>
    <r>
      <rPr>
        <sz val="12"/>
        <color rgb="FFFF0000"/>
        <rFont val="Calibri"/>
        <family val="2"/>
        <scheme val="minor"/>
      </rPr>
      <t xml:space="preserve">= </t>
    </r>
    <r>
      <rPr>
        <b/>
        <sz val="12"/>
        <color rgb="FFFF0000"/>
        <rFont val="Calibri"/>
        <family val="2"/>
        <scheme val="minor"/>
      </rPr>
      <t>13 055,28 €
HA PUB Nordic MAG 4920 € - créa  campagne Esprit Nomade 2520 €-droits photos   165 € - droits photos  JC decaux godin 1760 € gascard  1710 €</t>
    </r>
    <r>
      <rPr>
        <sz val="12"/>
        <rFont val="Calibri"/>
        <family val="2"/>
        <scheme val="minor"/>
      </rPr>
      <t xml:space="preserve">
</t>
    </r>
  </si>
  <si>
    <t>Suivi DEC  2022</t>
  </si>
  <si>
    <r>
      <t>Evolution place de marché -</t>
    </r>
    <r>
      <rPr>
        <sz val="12"/>
        <color rgb="FFFF0000"/>
        <rFont val="Calibri"/>
        <family val="2"/>
        <scheme val="minor"/>
      </rPr>
      <t xml:space="preserve"> </t>
    </r>
    <r>
      <rPr>
        <b/>
        <sz val="12"/>
        <color rgb="FFFF0000"/>
        <rFont val="Calibri"/>
        <family val="2"/>
        <scheme val="minor"/>
      </rPr>
      <t>Décision direction budget 2022-</t>
    </r>
    <r>
      <rPr>
        <b/>
        <sz val="12"/>
        <rFont val="Calibri"/>
        <family val="2"/>
        <scheme val="minor"/>
      </rPr>
      <t xml:space="preserve"> </t>
    </r>
    <r>
      <rPr>
        <b/>
        <sz val="12"/>
        <color rgb="FFFF0000"/>
        <rFont val="Calibri"/>
        <family val="2"/>
        <scheme val="minor"/>
      </rPr>
      <t>Déploiement géotrek-rando 10 200 €</t>
    </r>
  </si>
  <si>
    <r>
      <t>Partenariat Pêche ... Li</t>
    </r>
    <r>
      <rPr>
        <i/>
        <sz val="12"/>
        <rFont val="Calibri"/>
        <family val="2"/>
        <scheme val="minor"/>
      </rPr>
      <t xml:space="preserve">gne des hirondelles </t>
    </r>
    <r>
      <rPr>
        <sz val="12"/>
        <rFont val="Calibri"/>
        <family val="2"/>
        <scheme val="minor"/>
      </rPr>
      <t>2022-</t>
    </r>
  </si>
  <si>
    <t>TDF - Week end du chat perché- 30/09- 1 et 2 octobre 2022 / Pack Platine  3500 €</t>
  </si>
  <si>
    <r>
      <rPr>
        <b/>
        <sz val="12"/>
        <rFont val="Calibri"/>
        <family val="2"/>
        <scheme val="minor"/>
      </rPr>
      <t>PRINT</t>
    </r>
    <r>
      <rPr>
        <sz val="12"/>
        <rFont val="Calibri"/>
        <family val="2"/>
        <scheme val="minor"/>
      </rPr>
      <t xml:space="preserve"> - Carte Touristique (65  000 ex en F/GB ( 5 000 ex pour le CIVJ ) + 10 000 ex D/NL ( 1 500 ex pour le CIVJ ) - Poste impression SIMON  12 807,70€
 Verso oenotourisme - Retour JPC codir 23/02 - Trad Abaque  47,88 - </t>
    </r>
    <r>
      <rPr>
        <b/>
        <sz val="12"/>
        <color rgb="FFFF0000"/>
        <rFont val="Calibri"/>
        <family val="2"/>
        <scheme val="minor"/>
      </rPr>
      <t>Décision Direction ha papier  SIMON Carte To 2023 = 11 394 €TTC - impression budget 2023</t>
    </r>
    <r>
      <rPr>
        <sz val="12"/>
        <rFont val="Calibri"/>
        <family val="2"/>
        <scheme val="minor"/>
      </rPr>
      <t xml:space="preserve">
</t>
    </r>
  </si>
  <si>
    <t>Opportunité - Vidéo Hiver drone  Tom Mauron  2900 € sollicitation terrioires - mizenboite reportage vidéo  8 772 €( partenariat 1 000 € ENJ ) - Clip 4 saisons diff  Tour de FranceMizenboite  660 € - 330 € montage clip hiver
recherche Rush BFMTV 180 €-Clip Vidéo Up Drone  automne forêts  1500 €- Sélection rushs pour C8 Mizenboite 180 €- clip QFM 2010€ -Clip Attractivité Mize en boite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</si>
</sst>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0.00\ &quot;€&quot;"/>
    <numFmt numFmtId="166" formatCode="#,##0\ &quot;€&quot;"/>
  </numFmts>
  <fonts count="94" x14ac:knownFonts="1">
    <font>
      <sz val="11"/>
      <color theme="1"/>
      <name val="Calibri"/>
      <family val="2"/>
      <scheme val="minor"/>
    </font>
    <font>
      <sz val="11"/>
      <color theme="1"/>
      <name val="Calibri"/>
      <family val="2"/>
      <scheme val="minor"/>
    </font>
    <font>
      <b/>
      <sz val="10"/>
      <color theme="1"/>
      <name val="Calibri"/>
      <family val="2"/>
      <scheme val="minor"/>
    </font>
    <font>
      <b/>
      <sz val="9"/>
      <color theme="1"/>
      <name val="Calibri"/>
      <family val="2"/>
      <scheme val="minor"/>
    </font>
    <font>
      <b/>
      <sz val="12"/>
      <color theme="1"/>
      <name val="Calibri"/>
      <family val="2"/>
      <scheme val="minor"/>
    </font>
    <font>
      <b/>
      <sz val="16"/>
      <color theme="1"/>
      <name val="Calibri"/>
      <family val="2"/>
      <scheme val="minor"/>
    </font>
    <font>
      <b/>
      <sz val="20"/>
      <color theme="1"/>
      <name val="Calibri"/>
      <family val="2"/>
      <scheme val="minor"/>
    </font>
    <font>
      <b/>
      <sz val="14"/>
      <color theme="1"/>
      <name val="Calibri"/>
      <family val="2"/>
      <scheme val="minor"/>
    </font>
    <font>
      <b/>
      <sz val="22"/>
      <color rgb="FFFF0000"/>
      <name val="Calibri"/>
      <family val="2"/>
      <scheme val="minor"/>
    </font>
    <font>
      <b/>
      <sz val="28"/>
      <color theme="1"/>
      <name val="Calibri"/>
      <family val="2"/>
      <scheme val="minor"/>
    </font>
    <font>
      <b/>
      <i/>
      <sz val="14"/>
      <color theme="1"/>
      <name val="Calibri"/>
      <family val="2"/>
      <scheme val="minor"/>
    </font>
    <font>
      <b/>
      <i/>
      <sz val="9"/>
      <color theme="1"/>
      <name val="Calibri"/>
      <family val="2"/>
      <scheme val="minor"/>
    </font>
    <font>
      <b/>
      <i/>
      <sz val="14"/>
      <name val="Calibri"/>
      <family val="2"/>
      <scheme val="minor"/>
    </font>
    <font>
      <b/>
      <sz val="18"/>
      <color rgb="FFFF0000"/>
      <name val="Calibri"/>
      <family val="2"/>
      <scheme val="minor"/>
    </font>
    <font>
      <b/>
      <i/>
      <sz val="14"/>
      <color rgb="FFFF0000"/>
      <name val="Calibri"/>
      <family val="2"/>
      <scheme val="minor"/>
    </font>
    <font>
      <b/>
      <sz val="18"/>
      <color theme="1"/>
      <name val="Calibri"/>
      <family val="2"/>
      <scheme val="minor"/>
    </font>
    <font>
      <b/>
      <sz val="20"/>
      <name val="Calibri"/>
      <family val="2"/>
      <scheme val="minor"/>
    </font>
    <font>
      <b/>
      <sz val="22"/>
      <name val="Calibri"/>
      <family val="2"/>
      <scheme val="minor"/>
    </font>
    <font>
      <b/>
      <sz val="24"/>
      <color theme="1"/>
      <name val="Calibri"/>
      <family val="2"/>
      <scheme val="minor"/>
    </font>
    <font>
      <sz val="16"/>
      <color theme="1"/>
      <name val="Calibri"/>
      <family val="2"/>
      <scheme val="minor"/>
    </font>
    <font>
      <b/>
      <i/>
      <sz val="18"/>
      <color theme="1"/>
      <name val="Calibri"/>
      <family val="2"/>
      <scheme val="minor"/>
    </font>
    <font>
      <b/>
      <sz val="18"/>
      <name val="Calibri"/>
      <family val="2"/>
      <scheme val="minor"/>
    </font>
    <font>
      <b/>
      <i/>
      <sz val="16"/>
      <color rgb="FFFF0000"/>
      <name val="Calibri"/>
      <family val="2"/>
      <scheme val="minor"/>
    </font>
    <font>
      <b/>
      <sz val="26"/>
      <name val="Calibri"/>
      <family val="2"/>
      <scheme val="minor"/>
    </font>
    <font>
      <b/>
      <i/>
      <sz val="18"/>
      <name val="Calibri"/>
      <family val="2"/>
      <scheme val="minor"/>
    </font>
    <font>
      <sz val="12"/>
      <color theme="1"/>
      <name val="Calibri"/>
      <family val="2"/>
      <scheme val="minor"/>
    </font>
    <font>
      <b/>
      <sz val="14"/>
      <name val="Calibri"/>
      <family val="2"/>
      <scheme val="minor"/>
    </font>
    <font>
      <b/>
      <sz val="24"/>
      <color rgb="FFFF66FF"/>
      <name val="Calibri"/>
      <family val="2"/>
      <scheme val="minor"/>
    </font>
    <font>
      <b/>
      <sz val="24"/>
      <name val="Calibri"/>
      <family val="2"/>
      <scheme val="minor"/>
    </font>
    <font>
      <b/>
      <i/>
      <sz val="12"/>
      <color theme="1"/>
      <name val="Calibri"/>
      <family val="2"/>
      <scheme val="minor"/>
    </font>
    <font>
      <b/>
      <sz val="12"/>
      <name val="Calibri"/>
      <family val="2"/>
      <scheme val="minor"/>
    </font>
    <font>
      <sz val="12"/>
      <name val="Calibri"/>
      <family val="2"/>
      <scheme val="minor"/>
    </font>
    <font>
      <sz val="10"/>
      <color theme="1"/>
      <name val="Calibri"/>
      <family val="2"/>
      <scheme val="minor"/>
    </font>
    <font>
      <sz val="10"/>
      <name val="Calibri"/>
      <family val="2"/>
      <scheme val="minor"/>
    </font>
    <font>
      <b/>
      <i/>
      <sz val="10"/>
      <color theme="1"/>
      <name val="Calibri"/>
      <family val="2"/>
      <scheme val="minor"/>
    </font>
    <font>
      <i/>
      <sz val="12"/>
      <color theme="1"/>
      <name val="Calibri"/>
      <family val="2"/>
      <scheme val="minor"/>
    </font>
    <font>
      <i/>
      <sz val="10"/>
      <color theme="1"/>
      <name val="Calibri"/>
      <family val="2"/>
      <scheme val="minor"/>
    </font>
    <font>
      <sz val="9"/>
      <color theme="1"/>
      <name val="Calibri"/>
      <family val="2"/>
      <scheme val="minor"/>
    </font>
    <font>
      <sz val="8"/>
      <color rgb="FFFF0000"/>
      <name val="Calibri"/>
      <family val="2"/>
      <scheme val="minor"/>
    </font>
    <font>
      <sz val="8"/>
      <color theme="1"/>
      <name val="Calibri"/>
      <family val="2"/>
      <scheme val="minor"/>
    </font>
    <font>
      <sz val="8"/>
      <name val="Calibri"/>
      <family val="2"/>
      <scheme val="minor"/>
    </font>
    <font>
      <i/>
      <sz val="8"/>
      <name val="Calibri"/>
      <family val="2"/>
      <scheme val="minor"/>
    </font>
    <font>
      <b/>
      <i/>
      <sz val="12"/>
      <name val="Calibri"/>
      <family val="2"/>
      <scheme val="minor"/>
    </font>
    <font>
      <i/>
      <sz val="12"/>
      <name val="Calibri"/>
      <family val="2"/>
      <scheme val="minor"/>
    </font>
    <font>
      <b/>
      <sz val="11"/>
      <color theme="1"/>
      <name val="Calibri"/>
      <family val="2"/>
      <scheme val="minor"/>
    </font>
    <font>
      <b/>
      <i/>
      <sz val="24"/>
      <name val="Calibri"/>
      <family val="2"/>
      <scheme val="minor"/>
    </font>
    <font>
      <b/>
      <sz val="16"/>
      <name val="Calibri"/>
      <family val="2"/>
      <scheme val="minor"/>
    </font>
    <font>
      <i/>
      <sz val="9"/>
      <color rgb="FFFF0000"/>
      <name val="Calibri"/>
      <family val="2"/>
      <scheme val="minor"/>
    </font>
    <font>
      <i/>
      <sz val="12"/>
      <color rgb="FFFF0000"/>
      <name val="Calibri"/>
      <family val="2"/>
      <scheme val="minor"/>
    </font>
    <font>
      <b/>
      <i/>
      <sz val="11"/>
      <name val="Calibri"/>
      <family val="2"/>
      <scheme val="minor"/>
    </font>
    <font>
      <i/>
      <sz val="16"/>
      <color rgb="FFFF0000"/>
      <name val="Calibri"/>
      <family val="2"/>
      <scheme val="minor"/>
    </font>
    <font>
      <i/>
      <sz val="22"/>
      <color rgb="FFFF0000"/>
      <name val="Calibri"/>
      <family val="2"/>
      <scheme val="minor"/>
    </font>
    <font>
      <b/>
      <i/>
      <sz val="28"/>
      <color theme="1"/>
      <name val="Calibri"/>
      <family val="2"/>
      <scheme val="minor"/>
    </font>
    <font>
      <i/>
      <sz val="18"/>
      <color rgb="FFFF0000"/>
      <name val="Calibri"/>
      <family val="2"/>
      <scheme val="minor"/>
    </font>
    <font>
      <i/>
      <sz val="20"/>
      <color rgb="FFFF0000"/>
      <name val="Calibri"/>
      <family val="2"/>
      <scheme val="minor"/>
    </font>
    <font>
      <b/>
      <sz val="16"/>
      <color rgb="FFFF0000"/>
      <name val="Calibri"/>
      <family val="2"/>
      <scheme val="minor"/>
    </font>
    <font>
      <sz val="16"/>
      <name val="Calibri"/>
      <family val="2"/>
      <scheme val="minor"/>
    </font>
    <font>
      <sz val="16"/>
      <color rgb="FFFF0000"/>
      <name val="Calibri"/>
      <family val="2"/>
      <scheme val="minor"/>
    </font>
    <font>
      <b/>
      <sz val="10"/>
      <color rgb="FF893BC3"/>
      <name val="Calibri"/>
      <family val="2"/>
      <scheme val="minor"/>
    </font>
    <font>
      <i/>
      <sz val="12"/>
      <color rgb="FF0070C0"/>
      <name val="Calibri"/>
      <family val="2"/>
      <scheme val="minor"/>
    </font>
    <font>
      <sz val="12"/>
      <color rgb="FF0070C0"/>
      <name val="Calibri"/>
      <family val="2"/>
      <scheme val="minor"/>
    </font>
    <font>
      <b/>
      <sz val="12"/>
      <color rgb="FF0070C0"/>
      <name val="Calibri"/>
      <family val="2"/>
      <scheme val="minor"/>
    </font>
    <font>
      <b/>
      <i/>
      <strike/>
      <sz val="16"/>
      <color rgb="FF0070C0"/>
      <name val="Calibri"/>
      <family val="2"/>
      <scheme val="minor"/>
    </font>
    <font>
      <b/>
      <sz val="10"/>
      <color rgb="FF0070C0"/>
      <name val="Calibri"/>
      <family val="2"/>
      <scheme val="minor"/>
    </font>
    <font>
      <b/>
      <sz val="10"/>
      <name val="Calibri"/>
      <family val="2"/>
      <scheme val="minor"/>
    </font>
    <font>
      <sz val="11"/>
      <name val="Calibri"/>
      <family val="2"/>
      <scheme val="minor"/>
    </font>
    <font>
      <sz val="14"/>
      <name val="Calibri"/>
      <family val="2"/>
      <scheme val="minor"/>
    </font>
    <font>
      <b/>
      <i/>
      <sz val="14"/>
      <color rgb="FF893BC3"/>
      <name val="Calibri"/>
      <family val="2"/>
      <scheme val="minor"/>
    </font>
    <font>
      <b/>
      <sz val="12"/>
      <color rgb="FFFF0000"/>
      <name val="Calibri"/>
      <family val="2"/>
      <scheme val="minor"/>
    </font>
    <font>
      <b/>
      <sz val="14"/>
      <color rgb="FFFF0000"/>
      <name val="Calibri"/>
      <family val="2"/>
      <scheme val="minor"/>
    </font>
    <font>
      <b/>
      <sz val="11"/>
      <color rgb="FFFF0000"/>
      <name val="Calibri"/>
      <family val="2"/>
      <scheme val="minor"/>
    </font>
    <font>
      <sz val="9"/>
      <color rgb="FFFF0000"/>
      <name val="Calibri"/>
      <family val="2"/>
      <scheme val="minor"/>
    </font>
    <font>
      <sz val="12"/>
      <color rgb="FFFF0000"/>
      <name val="Calibri"/>
      <family val="2"/>
      <scheme val="minor"/>
    </font>
    <font>
      <sz val="22"/>
      <color rgb="FFFF0000"/>
      <name val="Calibri"/>
      <family val="2"/>
      <scheme val="minor"/>
    </font>
    <font>
      <sz val="18"/>
      <color rgb="FFFF0000"/>
      <name val="Calibri"/>
      <family val="2"/>
      <scheme val="minor"/>
    </font>
    <font>
      <b/>
      <sz val="11"/>
      <name val="Calibri"/>
      <family val="2"/>
      <scheme val="minor"/>
    </font>
    <font>
      <sz val="20"/>
      <color rgb="FFFF0000"/>
      <name val="Calibri"/>
      <family val="2"/>
      <scheme val="minor"/>
    </font>
    <font>
      <b/>
      <sz val="20"/>
      <color theme="1"/>
      <name val="Calibri"/>
      <family val="2"/>
    </font>
    <font>
      <sz val="20"/>
      <color theme="1"/>
      <name val="Calibri"/>
      <family val="2"/>
    </font>
    <font>
      <b/>
      <sz val="15"/>
      <color theme="1"/>
      <name val="Calibri"/>
      <family val="2"/>
    </font>
    <font>
      <b/>
      <sz val="15"/>
      <color theme="1"/>
      <name val="Calibri"/>
      <family val="2"/>
      <scheme val="minor"/>
    </font>
    <font>
      <b/>
      <i/>
      <sz val="15"/>
      <color theme="1"/>
      <name val="Calibri"/>
      <family val="2"/>
      <scheme val="minor"/>
    </font>
    <font>
      <b/>
      <sz val="15"/>
      <color theme="4" tint="-0.249977111117893"/>
      <name val="Calibri"/>
      <family val="2"/>
      <scheme val="minor"/>
    </font>
    <font>
      <b/>
      <sz val="4"/>
      <color theme="1"/>
      <name val="Calibri"/>
      <family val="2"/>
      <scheme val="minor"/>
    </font>
    <font>
      <sz val="14"/>
      <color theme="1"/>
      <name val="Calibri"/>
      <family val="2"/>
      <scheme val="minor"/>
    </font>
    <font>
      <u/>
      <sz val="12"/>
      <name val="Calibri"/>
      <family val="2"/>
      <scheme val="minor"/>
    </font>
    <font>
      <b/>
      <u/>
      <sz val="12"/>
      <name val="Calibri"/>
      <family val="2"/>
      <scheme val="minor"/>
    </font>
    <font>
      <b/>
      <sz val="10"/>
      <color rgb="FFFF0000"/>
      <name val="Calibri"/>
      <family val="2"/>
      <scheme val="minor"/>
    </font>
    <font>
      <b/>
      <i/>
      <sz val="16"/>
      <color theme="1"/>
      <name val="Calibri"/>
      <family val="2"/>
      <scheme val="minor"/>
    </font>
    <font>
      <b/>
      <i/>
      <sz val="16"/>
      <name val="Calibri"/>
      <family val="2"/>
      <scheme val="minor"/>
    </font>
    <font>
      <b/>
      <sz val="14"/>
      <color rgb="FF00B050"/>
      <name val="Calibri"/>
      <family val="2"/>
      <scheme val="minor"/>
    </font>
    <font>
      <b/>
      <sz val="16"/>
      <color rgb="FF00B050"/>
      <name val="Calibri"/>
      <family val="2"/>
      <scheme val="minor"/>
    </font>
    <font>
      <i/>
      <sz val="14"/>
      <name val="Calibri"/>
      <family val="2"/>
      <scheme val="minor"/>
    </font>
    <font>
      <i/>
      <sz val="11"/>
      <name val="Calibri"/>
      <family val="2"/>
      <scheme val="minor"/>
    </font>
  </fonts>
  <fills count="3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C00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rgb="FF72C854"/>
        <bgColor indexed="64"/>
      </patternFill>
    </fill>
    <fill>
      <patternFill patternType="solid">
        <fgColor rgb="FFFF66CC"/>
        <bgColor indexed="64"/>
      </patternFill>
    </fill>
    <fill>
      <patternFill patternType="solid">
        <fgColor rgb="FFE6A8BE"/>
        <bgColor indexed="64"/>
      </patternFill>
    </fill>
    <fill>
      <patternFill patternType="solid">
        <fgColor rgb="FF92D050"/>
        <bgColor indexed="64"/>
      </patternFill>
    </fill>
    <fill>
      <patternFill patternType="solid">
        <fgColor rgb="FFCC9900"/>
        <bgColor indexed="64"/>
      </patternFill>
    </fill>
    <fill>
      <patternFill patternType="solid">
        <fgColor rgb="FF9E5ECE"/>
        <bgColor indexed="64"/>
      </patternFill>
    </fill>
    <fill>
      <patternFill patternType="solid">
        <fgColor rgb="FF8BD050"/>
        <bgColor indexed="64"/>
      </patternFill>
    </fill>
    <fill>
      <patternFill patternType="solid">
        <fgColor theme="0" tint="-0.34998626667073579"/>
        <bgColor indexed="64"/>
      </patternFill>
    </fill>
    <fill>
      <patternFill patternType="solid">
        <fgColor rgb="FF00B0F0"/>
        <bgColor indexed="64"/>
      </patternFill>
    </fill>
    <fill>
      <patternFill patternType="solid">
        <fgColor rgb="FF00B050"/>
        <bgColor indexed="64"/>
      </patternFill>
    </fill>
    <fill>
      <patternFill patternType="solid">
        <fgColor theme="8" tint="0.39997558519241921"/>
        <bgColor indexed="64"/>
      </patternFill>
    </fill>
    <fill>
      <patternFill patternType="solid">
        <fgColor theme="7"/>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rgb="FFDEBCDC"/>
        <bgColor indexed="64"/>
      </patternFill>
    </fill>
    <fill>
      <patternFill patternType="solid">
        <fgColor rgb="FFFFCC99"/>
        <bgColor indexed="64"/>
      </patternFill>
    </fill>
    <fill>
      <patternFill patternType="solid">
        <fgColor theme="4" tint="0.59999389629810485"/>
        <bgColor indexed="64"/>
      </patternFill>
    </fill>
    <fill>
      <patternFill patternType="solid">
        <fgColor theme="8"/>
        <bgColor indexed="64"/>
      </patternFill>
    </fill>
    <fill>
      <patternFill patternType="solid">
        <fgColor rgb="FFFFFF00"/>
        <bgColor indexed="64"/>
      </patternFill>
    </fill>
    <fill>
      <patternFill patternType="solid">
        <fgColor theme="8" tint="0.59999389629810485"/>
        <bgColor indexed="64"/>
      </patternFill>
    </fill>
  </fills>
  <borders count="121">
    <border>
      <left/>
      <right/>
      <top/>
      <bottom/>
      <diagonal/>
    </border>
    <border>
      <left/>
      <right/>
      <top style="medium">
        <color auto="1"/>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right style="thin">
        <color auto="1"/>
      </right>
      <top/>
      <bottom/>
      <diagonal/>
    </border>
    <border>
      <left style="medium">
        <color indexed="64"/>
      </left>
      <right style="medium">
        <color indexed="64"/>
      </right>
      <top/>
      <bottom style="medium">
        <color indexed="64"/>
      </bottom>
      <diagonal/>
    </border>
    <border>
      <left style="thin">
        <color auto="1"/>
      </left>
      <right style="thin">
        <color auto="1"/>
      </right>
      <top/>
      <bottom style="medium">
        <color indexed="64"/>
      </bottom>
      <diagonal/>
    </border>
    <border>
      <left/>
      <right style="thin">
        <color auto="1"/>
      </right>
      <top style="medium">
        <color indexed="64"/>
      </top>
      <bottom style="medium">
        <color indexed="64"/>
      </bottom>
      <diagonal/>
    </border>
    <border>
      <left/>
      <right/>
      <top/>
      <bottom style="medium">
        <color indexed="64"/>
      </bottom>
      <diagonal/>
    </border>
    <border>
      <left/>
      <right style="thin">
        <color auto="1"/>
      </right>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auto="1"/>
      </bottom>
      <diagonal/>
    </border>
    <border>
      <left style="thick">
        <color rgb="FF8BD050"/>
      </left>
      <right/>
      <top style="thick">
        <color rgb="FF8BD050"/>
      </top>
      <bottom/>
      <diagonal/>
    </border>
    <border>
      <left style="thin">
        <color auto="1"/>
      </left>
      <right style="thin">
        <color auto="1"/>
      </right>
      <top style="thick">
        <color rgb="FF8BD050"/>
      </top>
      <bottom style="medium">
        <color indexed="64"/>
      </bottom>
      <diagonal/>
    </border>
    <border>
      <left style="thin">
        <color auto="1"/>
      </left>
      <right style="thick">
        <color rgb="FF8BD050"/>
      </right>
      <top style="thick">
        <color rgb="FF8BD050"/>
      </top>
      <bottom style="medium">
        <color indexed="64"/>
      </bottom>
      <diagonal/>
    </border>
    <border>
      <left style="thin">
        <color auto="1"/>
      </left>
      <right style="thick">
        <color rgb="FF8BD050"/>
      </right>
      <top/>
      <bottom style="thin">
        <color auto="1"/>
      </bottom>
      <diagonal/>
    </border>
    <border>
      <left style="thick">
        <color rgb="FF8BD050"/>
      </left>
      <right/>
      <top/>
      <bottom/>
      <diagonal/>
    </border>
    <border>
      <left style="thin">
        <color auto="1"/>
      </left>
      <right style="thick">
        <color rgb="FF8BD050"/>
      </right>
      <top style="thin">
        <color auto="1"/>
      </top>
      <bottom style="thin">
        <color auto="1"/>
      </bottom>
      <diagonal/>
    </border>
    <border>
      <left style="thin">
        <color auto="1"/>
      </left>
      <right style="thick">
        <color rgb="FF8BD050"/>
      </right>
      <top style="thin">
        <color auto="1"/>
      </top>
      <bottom/>
      <diagonal/>
    </border>
    <border>
      <left style="thin">
        <color auto="1"/>
      </left>
      <right style="thick">
        <color rgb="FF8BD050"/>
      </right>
      <top style="medium">
        <color indexed="64"/>
      </top>
      <bottom style="thin">
        <color auto="1"/>
      </bottom>
      <diagonal/>
    </border>
    <border>
      <left style="thick">
        <color rgb="FF8BD050"/>
      </left>
      <right style="thin">
        <color auto="1"/>
      </right>
      <top style="medium">
        <color indexed="64"/>
      </top>
      <bottom style="thick">
        <color rgb="FF8BD050"/>
      </bottom>
      <diagonal/>
    </border>
    <border>
      <left style="thin">
        <color auto="1"/>
      </left>
      <right style="thin">
        <color auto="1"/>
      </right>
      <top/>
      <bottom style="thick">
        <color rgb="FF8BD050"/>
      </bottom>
      <diagonal/>
    </border>
    <border>
      <left style="thin">
        <color auto="1"/>
      </left>
      <right style="thin">
        <color auto="1"/>
      </right>
      <top style="medium">
        <color indexed="64"/>
      </top>
      <bottom style="thick">
        <color rgb="FF8BD050"/>
      </bottom>
      <diagonal/>
    </border>
    <border>
      <left style="thin">
        <color auto="1"/>
      </left>
      <right style="thick">
        <color rgb="FF8BD050"/>
      </right>
      <top style="medium">
        <color indexed="64"/>
      </top>
      <bottom style="thick">
        <color rgb="FF8BD050"/>
      </bottom>
      <diagonal/>
    </border>
    <border>
      <left style="thick">
        <color rgb="FFCC9900"/>
      </left>
      <right style="thin">
        <color auto="1"/>
      </right>
      <top style="thick">
        <color rgb="FFCC9900"/>
      </top>
      <bottom style="medium">
        <color indexed="64"/>
      </bottom>
      <diagonal/>
    </border>
    <border>
      <left style="thin">
        <color auto="1"/>
      </left>
      <right style="thin">
        <color auto="1"/>
      </right>
      <top style="thick">
        <color rgb="FFCC9900"/>
      </top>
      <bottom style="medium">
        <color indexed="64"/>
      </bottom>
      <diagonal/>
    </border>
    <border>
      <left style="thin">
        <color auto="1"/>
      </left>
      <right/>
      <top style="thick">
        <color rgb="FFCC9900"/>
      </top>
      <bottom style="medium">
        <color indexed="64"/>
      </bottom>
      <diagonal/>
    </border>
    <border>
      <left/>
      <right/>
      <top style="thick">
        <color rgb="FFCC9900"/>
      </top>
      <bottom style="medium">
        <color indexed="64"/>
      </bottom>
      <diagonal/>
    </border>
    <border>
      <left/>
      <right style="thick">
        <color rgb="FFCC9900"/>
      </right>
      <top style="thick">
        <color rgb="FFCC9900"/>
      </top>
      <bottom style="medium">
        <color indexed="64"/>
      </bottom>
      <diagonal/>
    </border>
    <border>
      <left style="thick">
        <color rgb="FFCC9900"/>
      </left>
      <right/>
      <top/>
      <bottom/>
      <diagonal/>
    </border>
    <border>
      <left style="thin">
        <color auto="1"/>
      </left>
      <right style="thick">
        <color rgb="FFCC9900"/>
      </right>
      <top/>
      <bottom style="thin">
        <color auto="1"/>
      </bottom>
      <diagonal/>
    </border>
    <border>
      <left style="thick">
        <color rgb="FFCC9900"/>
      </left>
      <right style="thin">
        <color auto="1"/>
      </right>
      <top style="thin">
        <color auto="1"/>
      </top>
      <bottom style="thin">
        <color auto="1"/>
      </bottom>
      <diagonal/>
    </border>
    <border>
      <left style="thin">
        <color auto="1"/>
      </left>
      <right style="thick">
        <color rgb="FFCC9900"/>
      </right>
      <top style="thin">
        <color auto="1"/>
      </top>
      <bottom style="thin">
        <color auto="1"/>
      </bottom>
      <diagonal/>
    </border>
    <border>
      <left style="thin">
        <color auto="1"/>
      </left>
      <right style="thick">
        <color rgb="FFCC9900"/>
      </right>
      <top style="thin">
        <color auto="1"/>
      </top>
      <bottom/>
      <diagonal/>
    </border>
    <border>
      <left style="thick">
        <color rgb="FFCC9900"/>
      </left>
      <right style="thin">
        <color auto="1"/>
      </right>
      <top/>
      <bottom style="thick">
        <color rgb="FFCC9900"/>
      </bottom>
      <diagonal/>
    </border>
    <border>
      <left style="thin">
        <color auto="1"/>
      </left>
      <right style="thin">
        <color auto="1"/>
      </right>
      <top style="medium">
        <color indexed="64"/>
      </top>
      <bottom style="thick">
        <color rgb="FFCC9900"/>
      </bottom>
      <diagonal/>
    </border>
    <border>
      <left style="thin">
        <color auto="1"/>
      </left>
      <right style="thick">
        <color rgb="FFCC9900"/>
      </right>
      <top style="medium">
        <color indexed="64"/>
      </top>
      <bottom style="thick">
        <color rgb="FFCC9900"/>
      </bottom>
      <diagonal/>
    </border>
    <border>
      <left style="thick">
        <color rgb="FFFFC000"/>
      </left>
      <right style="thin">
        <color auto="1"/>
      </right>
      <top style="thick">
        <color rgb="FFFFC000"/>
      </top>
      <bottom style="medium">
        <color indexed="64"/>
      </bottom>
      <diagonal/>
    </border>
    <border>
      <left style="thin">
        <color auto="1"/>
      </left>
      <right style="thin">
        <color auto="1"/>
      </right>
      <top style="thick">
        <color rgb="FFFFC000"/>
      </top>
      <bottom style="medium">
        <color indexed="64"/>
      </bottom>
      <diagonal/>
    </border>
    <border>
      <left style="thin">
        <color auto="1"/>
      </left>
      <right style="thick">
        <color rgb="FFFFC000"/>
      </right>
      <top style="thick">
        <color rgb="FFFFC000"/>
      </top>
      <bottom style="medium">
        <color indexed="64"/>
      </bottom>
      <diagonal/>
    </border>
    <border>
      <left style="thick">
        <color rgb="FFFFC000"/>
      </left>
      <right style="thin">
        <color indexed="64"/>
      </right>
      <top/>
      <bottom style="thin">
        <color indexed="64"/>
      </bottom>
      <diagonal/>
    </border>
    <border>
      <left style="thin">
        <color auto="1"/>
      </left>
      <right style="thick">
        <color rgb="FFFFC000"/>
      </right>
      <top/>
      <bottom style="thin">
        <color auto="1"/>
      </bottom>
      <diagonal/>
    </border>
    <border>
      <left style="thick">
        <color rgb="FFFFC000"/>
      </left>
      <right style="thin">
        <color indexed="64"/>
      </right>
      <top style="thin">
        <color indexed="64"/>
      </top>
      <bottom style="thin">
        <color indexed="64"/>
      </bottom>
      <diagonal/>
    </border>
    <border>
      <left style="thin">
        <color auto="1"/>
      </left>
      <right style="thick">
        <color rgb="FFFFC000"/>
      </right>
      <top style="thin">
        <color auto="1"/>
      </top>
      <bottom style="thin">
        <color auto="1"/>
      </bottom>
      <diagonal/>
    </border>
    <border>
      <left style="thick">
        <color rgb="FFFFC000"/>
      </left>
      <right style="thin">
        <color indexed="64"/>
      </right>
      <top style="thin">
        <color indexed="64"/>
      </top>
      <bottom/>
      <diagonal/>
    </border>
    <border>
      <left style="thick">
        <color rgb="FFFFC000"/>
      </left>
      <right style="thin">
        <color indexed="64"/>
      </right>
      <top/>
      <bottom/>
      <diagonal/>
    </border>
    <border>
      <left style="thick">
        <color rgb="FFFFC000"/>
      </left>
      <right style="thin">
        <color auto="1"/>
      </right>
      <top style="medium">
        <color indexed="64"/>
      </top>
      <bottom style="thick">
        <color rgb="FFFFC000"/>
      </bottom>
      <diagonal/>
    </border>
    <border>
      <left style="thin">
        <color auto="1"/>
      </left>
      <right style="thin">
        <color auto="1"/>
      </right>
      <top style="medium">
        <color indexed="64"/>
      </top>
      <bottom style="thick">
        <color rgb="FFFFC000"/>
      </bottom>
      <diagonal/>
    </border>
    <border>
      <left style="thin">
        <color auto="1"/>
      </left>
      <right/>
      <top style="medium">
        <color indexed="64"/>
      </top>
      <bottom style="thick">
        <color rgb="FFFFC000"/>
      </bottom>
      <diagonal/>
    </border>
    <border>
      <left style="thin">
        <color auto="1"/>
      </left>
      <right style="thick">
        <color rgb="FFFFC000"/>
      </right>
      <top/>
      <bottom style="thick">
        <color rgb="FFFFC000"/>
      </bottom>
      <diagonal/>
    </border>
    <border>
      <left style="thick">
        <color rgb="FF00B0F0"/>
      </left>
      <right style="thin">
        <color auto="1"/>
      </right>
      <top style="thick">
        <color rgb="FF00B0F0"/>
      </top>
      <bottom style="medium">
        <color indexed="64"/>
      </bottom>
      <diagonal/>
    </border>
    <border>
      <left style="thin">
        <color auto="1"/>
      </left>
      <right style="thin">
        <color auto="1"/>
      </right>
      <top style="thick">
        <color rgb="FF00B0F0"/>
      </top>
      <bottom style="medium">
        <color indexed="64"/>
      </bottom>
      <diagonal/>
    </border>
    <border>
      <left/>
      <right/>
      <top style="thick">
        <color rgb="FF00B0F0"/>
      </top>
      <bottom style="medium">
        <color indexed="64"/>
      </bottom>
      <diagonal/>
    </border>
    <border>
      <left/>
      <right style="thick">
        <color rgb="FF00B0F0"/>
      </right>
      <top style="thick">
        <color rgb="FF00B0F0"/>
      </top>
      <bottom style="medium">
        <color indexed="64"/>
      </bottom>
      <diagonal/>
    </border>
    <border>
      <left style="thick">
        <color rgb="FF00B0F0"/>
      </left>
      <right style="thin">
        <color indexed="64"/>
      </right>
      <top style="medium">
        <color indexed="64"/>
      </top>
      <bottom style="thin">
        <color indexed="64"/>
      </bottom>
      <diagonal/>
    </border>
    <border>
      <left style="thin">
        <color auto="1"/>
      </left>
      <right style="thick">
        <color rgb="FF00B0F0"/>
      </right>
      <top style="medium">
        <color indexed="64"/>
      </top>
      <bottom style="thin">
        <color auto="1"/>
      </bottom>
      <diagonal/>
    </border>
    <border>
      <left style="thick">
        <color rgb="FF00B0F0"/>
      </left>
      <right style="thin">
        <color indexed="64"/>
      </right>
      <top style="thin">
        <color indexed="64"/>
      </top>
      <bottom style="thin">
        <color indexed="64"/>
      </bottom>
      <diagonal/>
    </border>
    <border>
      <left style="thin">
        <color auto="1"/>
      </left>
      <right style="thick">
        <color rgb="FF00B0F0"/>
      </right>
      <top style="thin">
        <color auto="1"/>
      </top>
      <bottom style="thin">
        <color auto="1"/>
      </bottom>
      <diagonal/>
    </border>
    <border>
      <left style="thick">
        <color rgb="FF00B0F0"/>
      </left>
      <right style="thin">
        <color indexed="64"/>
      </right>
      <top style="thin">
        <color indexed="64"/>
      </top>
      <bottom/>
      <diagonal/>
    </border>
    <border>
      <left style="thin">
        <color auto="1"/>
      </left>
      <right style="thick">
        <color rgb="FF00B0F0"/>
      </right>
      <top style="thin">
        <color auto="1"/>
      </top>
      <bottom/>
      <diagonal/>
    </border>
    <border>
      <left style="thick">
        <color rgb="FF00B0F0"/>
      </left>
      <right/>
      <top style="medium">
        <color indexed="64"/>
      </top>
      <bottom style="thin">
        <color auto="1"/>
      </bottom>
      <diagonal/>
    </border>
    <border>
      <left/>
      <right style="thick">
        <color rgb="FF00B0F0"/>
      </right>
      <top style="medium">
        <color indexed="64"/>
      </top>
      <bottom style="thin">
        <color auto="1"/>
      </bottom>
      <diagonal/>
    </border>
    <border>
      <left style="thick">
        <color rgb="FF00B0F0"/>
      </left>
      <right style="thin">
        <color indexed="64"/>
      </right>
      <top style="thin">
        <color indexed="64"/>
      </top>
      <bottom style="medium">
        <color indexed="64"/>
      </bottom>
      <diagonal/>
    </border>
    <border>
      <left style="thin">
        <color auto="1"/>
      </left>
      <right style="thick">
        <color rgb="FF00B0F0"/>
      </right>
      <top style="thin">
        <color auto="1"/>
      </top>
      <bottom style="medium">
        <color indexed="64"/>
      </bottom>
      <diagonal/>
    </border>
    <border>
      <left style="thick">
        <color rgb="FF00B0F0"/>
      </left>
      <right/>
      <top style="medium">
        <color indexed="64"/>
      </top>
      <bottom style="thick">
        <color rgb="FF00B0F0"/>
      </bottom>
      <diagonal/>
    </border>
    <border>
      <left/>
      <right/>
      <top style="medium">
        <color indexed="64"/>
      </top>
      <bottom style="thick">
        <color rgb="FF00B0F0"/>
      </bottom>
      <diagonal/>
    </border>
    <border>
      <left/>
      <right style="thin">
        <color auto="1"/>
      </right>
      <top style="medium">
        <color indexed="64"/>
      </top>
      <bottom style="thick">
        <color rgb="FF00B0F0"/>
      </bottom>
      <diagonal/>
    </border>
    <border>
      <left style="thin">
        <color auto="1"/>
      </left>
      <right style="thin">
        <color auto="1"/>
      </right>
      <top style="medium">
        <color indexed="64"/>
      </top>
      <bottom style="thick">
        <color rgb="FF00B0F0"/>
      </bottom>
      <diagonal/>
    </border>
    <border>
      <left style="thin">
        <color auto="1"/>
      </left>
      <right style="thick">
        <color rgb="FF00B0F0"/>
      </right>
      <top style="medium">
        <color indexed="64"/>
      </top>
      <bottom style="thick">
        <color rgb="FF00B0F0"/>
      </bottom>
      <diagonal/>
    </border>
    <border>
      <left style="thick">
        <color rgb="FFFF66CC"/>
      </left>
      <right style="thin">
        <color auto="1"/>
      </right>
      <top style="thick">
        <color rgb="FFFF66CC"/>
      </top>
      <bottom style="medium">
        <color indexed="64"/>
      </bottom>
      <diagonal/>
    </border>
    <border>
      <left style="thin">
        <color auto="1"/>
      </left>
      <right style="thin">
        <color auto="1"/>
      </right>
      <top style="thick">
        <color rgb="FFFF66CC"/>
      </top>
      <bottom style="medium">
        <color indexed="64"/>
      </bottom>
      <diagonal/>
    </border>
    <border>
      <left style="medium">
        <color indexed="64"/>
      </left>
      <right/>
      <top style="thick">
        <color rgb="FFFF66CC"/>
      </top>
      <bottom style="medium">
        <color indexed="64"/>
      </bottom>
      <diagonal/>
    </border>
    <border>
      <left/>
      <right/>
      <top style="thick">
        <color rgb="FFFF66CC"/>
      </top>
      <bottom style="medium">
        <color indexed="64"/>
      </bottom>
      <diagonal/>
    </border>
    <border>
      <left/>
      <right style="thick">
        <color rgb="FFFF66CC"/>
      </right>
      <top style="thick">
        <color rgb="FFFF66CC"/>
      </top>
      <bottom style="medium">
        <color indexed="64"/>
      </bottom>
      <diagonal/>
    </border>
    <border>
      <left style="thick">
        <color rgb="FFFF66CC"/>
      </left>
      <right style="thin">
        <color indexed="64"/>
      </right>
      <top/>
      <bottom/>
      <diagonal/>
    </border>
    <border>
      <left style="thin">
        <color auto="1"/>
      </left>
      <right style="thick">
        <color rgb="FFFF66CC"/>
      </right>
      <top/>
      <bottom style="thin">
        <color auto="1"/>
      </bottom>
      <diagonal/>
    </border>
    <border>
      <left style="thick">
        <color rgb="FFFF66CC"/>
      </left>
      <right style="thin">
        <color auto="1"/>
      </right>
      <top/>
      <bottom style="thin">
        <color auto="1"/>
      </bottom>
      <diagonal/>
    </border>
    <border>
      <left style="thick">
        <color rgb="FFFF66CC"/>
      </left>
      <right/>
      <top/>
      <bottom style="thick">
        <color rgb="FFFF66CC"/>
      </bottom>
      <diagonal/>
    </border>
    <border>
      <left/>
      <right/>
      <top style="medium">
        <color indexed="64"/>
      </top>
      <bottom style="thick">
        <color rgb="FFFF66CC"/>
      </bottom>
      <diagonal/>
    </border>
    <border>
      <left/>
      <right/>
      <top/>
      <bottom style="thick">
        <color rgb="FFFF66CC"/>
      </bottom>
      <diagonal/>
    </border>
    <border>
      <left/>
      <right style="thin">
        <color auto="1"/>
      </right>
      <top style="medium">
        <color indexed="64"/>
      </top>
      <bottom style="thick">
        <color rgb="FFFF66CC"/>
      </bottom>
      <diagonal/>
    </border>
    <border>
      <left style="thin">
        <color auto="1"/>
      </left>
      <right style="thin">
        <color auto="1"/>
      </right>
      <top style="medium">
        <color indexed="64"/>
      </top>
      <bottom style="thick">
        <color rgb="FFFF66CC"/>
      </bottom>
      <diagonal/>
    </border>
    <border>
      <left style="thin">
        <color auto="1"/>
      </left>
      <right style="thick">
        <color rgb="FFFF66CC"/>
      </right>
      <top style="medium">
        <color indexed="64"/>
      </top>
      <bottom style="thick">
        <color rgb="FFFF66CC"/>
      </bottom>
      <diagonal/>
    </border>
    <border>
      <left/>
      <right/>
      <top style="thick">
        <color rgb="FF8BD050"/>
      </top>
      <bottom style="thick">
        <color rgb="FFCC9900"/>
      </bottom>
      <diagonal/>
    </border>
    <border>
      <left/>
      <right/>
      <top style="thick">
        <color rgb="FFCC9900"/>
      </top>
      <bottom style="thick">
        <color rgb="FFFFC000"/>
      </bottom>
      <diagonal/>
    </border>
    <border>
      <left style="thick">
        <color rgb="FF8BD050"/>
      </left>
      <right style="thin">
        <color auto="1"/>
      </right>
      <top style="thick">
        <color rgb="FF8BD050"/>
      </top>
      <bottom style="medium">
        <color indexed="64"/>
      </bottom>
      <diagonal/>
    </border>
    <border>
      <left style="thick">
        <color rgb="FF8BD050"/>
      </left>
      <right style="thin">
        <color indexed="64"/>
      </right>
      <top style="medium">
        <color indexed="64"/>
      </top>
      <bottom style="thin">
        <color auto="1"/>
      </bottom>
      <diagonal/>
    </border>
    <border>
      <left style="thick">
        <color rgb="FF8BD050"/>
      </left>
      <right style="thin">
        <color indexed="64"/>
      </right>
      <top style="thin">
        <color auto="1"/>
      </top>
      <bottom style="thin">
        <color auto="1"/>
      </bottom>
      <diagonal/>
    </border>
    <border>
      <left style="thick">
        <color rgb="FF8BD050"/>
      </left>
      <right style="thin">
        <color indexed="64"/>
      </right>
      <top/>
      <bottom/>
      <diagonal/>
    </border>
    <border>
      <left style="thick">
        <color rgb="FF8BD050"/>
      </left>
      <right style="thin">
        <color indexed="64"/>
      </right>
      <top style="thin">
        <color auto="1"/>
      </top>
      <bottom/>
      <diagonal/>
    </border>
    <border>
      <left style="thick">
        <color rgb="FF8BD050"/>
      </left>
      <right style="thin">
        <color indexed="64"/>
      </right>
      <top/>
      <bottom style="thin">
        <color auto="1"/>
      </bottom>
      <diagonal/>
    </border>
    <border>
      <left style="thick">
        <color rgb="FF00B0F0"/>
      </left>
      <right style="thin">
        <color indexed="64"/>
      </right>
      <top/>
      <bottom/>
      <diagonal/>
    </border>
    <border>
      <left style="thin">
        <color auto="1"/>
      </left>
      <right/>
      <top style="thick">
        <color rgb="FF8BD050"/>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style="medium">
        <color indexed="64"/>
      </top>
      <bottom style="thin">
        <color auto="1"/>
      </bottom>
      <diagonal/>
    </border>
    <border>
      <left style="thin">
        <color auto="1"/>
      </left>
      <right/>
      <top style="thick">
        <color rgb="FFFFC000"/>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737">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2" fillId="2" borderId="0" xfId="0" applyFont="1" applyFill="1" applyAlignment="1">
      <alignment vertical="center"/>
    </xf>
    <xf numFmtId="0" fontId="2" fillId="0" borderId="0" xfId="0" applyFont="1" applyAlignment="1">
      <alignment horizontal="left" vertical="center"/>
    </xf>
    <xf numFmtId="166" fontId="11" fillId="0" borderId="0" xfId="0" applyNumberFormat="1" applyFont="1" applyAlignment="1">
      <alignment horizontal="center" vertical="center"/>
    </xf>
    <xf numFmtId="0" fontId="2" fillId="2" borderId="0" xfId="0" applyFont="1" applyFill="1" applyAlignment="1">
      <alignment horizontal="left" vertical="center"/>
    </xf>
    <xf numFmtId="0" fontId="19" fillId="2" borderId="11" xfId="0" applyFont="1" applyFill="1" applyBorder="1" applyAlignment="1">
      <alignment horizontal="left" vertical="center" wrapText="1"/>
    </xf>
    <xf numFmtId="165" fontId="22" fillId="0" borderId="11" xfId="1" applyNumberFormat="1" applyFont="1" applyBorder="1" applyAlignment="1">
      <alignment horizontal="center" vertical="center" wrapText="1"/>
    </xf>
    <xf numFmtId="0" fontId="21" fillId="2" borderId="0" xfId="0" applyFont="1" applyFill="1" applyAlignment="1">
      <alignment horizontal="center" vertical="center" textRotation="90"/>
    </xf>
    <xf numFmtId="0" fontId="15" fillId="0" borderId="0" xfId="0" applyFont="1" applyAlignment="1">
      <alignment vertical="center"/>
    </xf>
    <xf numFmtId="0" fontId="17" fillId="2" borderId="0" xfId="0" applyFont="1" applyFill="1" applyAlignment="1">
      <alignment horizontal="center" vertical="center" textRotation="90"/>
    </xf>
    <xf numFmtId="0" fontId="25" fillId="0" borderId="11" xfId="0" applyFont="1" applyBorder="1" applyAlignment="1">
      <alignment vertical="center" wrapText="1"/>
    </xf>
    <xf numFmtId="44" fontId="24" fillId="0" borderId="0" xfId="1" applyFont="1" applyFill="1" applyBorder="1" applyAlignment="1">
      <alignment horizontal="right" vertical="center" wrapText="1"/>
    </xf>
    <xf numFmtId="165" fontId="20" fillId="0" borderId="0" xfId="1" applyNumberFormat="1" applyFont="1" applyFill="1" applyBorder="1" applyAlignment="1">
      <alignment horizontal="center" vertical="center" wrapText="1"/>
    </xf>
    <xf numFmtId="0" fontId="15" fillId="3" borderId="2" xfId="0" applyFont="1" applyFill="1" applyBorder="1" applyAlignment="1">
      <alignment horizontal="center" vertical="center" wrapText="1"/>
    </xf>
    <xf numFmtId="166" fontId="12" fillId="4" borderId="6" xfId="1" applyNumberFormat="1" applyFont="1" applyFill="1" applyBorder="1" applyAlignment="1">
      <alignment horizontal="center" vertical="center" wrapText="1"/>
    </xf>
    <xf numFmtId="0" fontId="4" fillId="0" borderId="11" xfId="0" applyFont="1" applyBorder="1" applyAlignment="1">
      <alignment horizontal="right" vertical="center" wrapText="1"/>
    </xf>
    <xf numFmtId="0" fontId="4" fillId="2" borderId="11" xfId="0" applyFont="1" applyFill="1" applyBorder="1" applyAlignment="1">
      <alignment horizontal="right" vertical="center" wrapText="1"/>
    </xf>
    <xf numFmtId="0" fontId="25" fillId="2" borderId="11" xfId="0" applyFont="1" applyFill="1" applyBorder="1" applyAlignment="1">
      <alignment horizontal="left" vertical="center" wrapText="1"/>
    </xf>
    <xf numFmtId="0" fontId="0" fillId="0" borderId="0" xfId="0" applyAlignment="1">
      <alignment horizontal="center"/>
    </xf>
    <xf numFmtId="165" fontId="8" fillId="10" borderId="16" xfId="1" applyNumberFormat="1" applyFont="1" applyFill="1" applyBorder="1" applyAlignment="1">
      <alignment horizontal="center" vertical="center" wrapText="1"/>
    </xf>
    <xf numFmtId="44" fontId="24" fillId="0" borderId="0" xfId="1" applyFont="1" applyFill="1" applyBorder="1" applyAlignment="1">
      <alignment horizontal="right" vertical="center" textRotation="90" wrapText="1"/>
    </xf>
    <xf numFmtId="0" fontId="2" fillId="0" borderId="0" xfId="0" applyFont="1" applyAlignment="1">
      <alignment vertical="center" textRotation="90"/>
    </xf>
    <xf numFmtId="0" fontId="18" fillId="16" borderId="0" xfId="0" applyFont="1" applyFill="1" applyAlignment="1">
      <alignment horizontal="center" vertical="center" textRotation="90"/>
    </xf>
    <xf numFmtId="0" fontId="25" fillId="2" borderId="17" xfId="0" applyFont="1" applyFill="1" applyBorder="1" applyAlignment="1">
      <alignment horizontal="left" vertical="center" wrapText="1"/>
    </xf>
    <xf numFmtId="0" fontId="19" fillId="2" borderId="18" xfId="0" applyFont="1" applyFill="1" applyBorder="1" applyAlignment="1">
      <alignment horizontal="left" vertical="center" wrapText="1"/>
    </xf>
    <xf numFmtId="0" fontId="8" fillId="2" borderId="0" xfId="0" applyFont="1" applyFill="1" applyAlignment="1">
      <alignment horizontal="right" vertical="center" textRotation="90" wrapText="1"/>
    </xf>
    <xf numFmtId="0" fontId="13" fillId="2" borderId="0" xfId="0" applyFont="1" applyFill="1" applyAlignment="1">
      <alignment horizontal="right" vertical="center" wrapText="1"/>
    </xf>
    <xf numFmtId="165" fontId="14" fillId="2" borderId="0" xfId="0" applyNumberFormat="1" applyFont="1" applyFill="1" applyAlignment="1">
      <alignment horizontal="center" vertical="center" wrapText="1"/>
    </xf>
    <xf numFmtId="0" fontId="15" fillId="2" borderId="0" xfId="0" applyFont="1" applyFill="1" applyAlignment="1">
      <alignment horizontal="right" vertical="center" textRotation="90"/>
    </xf>
    <xf numFmtId="0" fontId="15" fillId="2" borderId="0" xfId="0" applyFont="1" applyFill="1" applyAlignment="1">
      <alignment horizontal="right" vertical="center"/>
    </xf>
    <xf numFmtId="165" fontId="20" fillId="2" borderId="0" xfId="0" applyNumberFormat="1" applyFont="1" applyFill="1" applyAlignment="1">
      <alignment horizontal="center" vertical="center" wrapText="1"/>
    </xf>
    <xf numFmtId="0" fontId="17" fillId="13" borderId="16" xfId="0" applyFont="1" applyFill="1" applyBorder="1" applyAlignment="1">
      <alignment vertical="center" wrapText="1"/>
    </xf>
    <xf numFmtId="0" fontId="23" fillId="2" borderId="0" xfId="0" applyFont="1" applyFill="1" applyAlignment="1">
      <alignment horizontal="right" vertical="center" textRotation="90" wrapText="1"/>
    </xf>
    <xf numFmtId="0" fontId="21" fillId="2" borderId="0" xfId="0" applyFont="1" applyFill="1" applyAlignment="1">
      <alignment horizontal="right" vertical="center" wrapText="1"/>
    </xf>
    <xf numFmtId="0" fontId="17" fillId="2" borderId="0" xfId="0" applyFont="1" applyFill="1" applyAlignment="1">
      <alignment vertical="center" wrapText="1"/>
    </xf>
    <xf numFmtId="0" fontId="2" fillId="16" borderId="6" xfId="0" applyFont="1" applyFill="1" applyBorder="1" applyAlignment="1">
      <alignment horizontal="left" vertical="center"/>
    </xf>
    <xf numFmtId="0" fontId="2" fillId="16" borderId="7" xfId="0" applyFont="1" applyFill="1" applyBorder="1" applyAlignment="1">
      <alignment horizontal="left" vertical="center"/>
    </xf>
    <xf numFmtId="0" fontId="2" fillId="16" borderId="7" xfId="0" applyFont="1" applyFill="1" applyBorder="1" applyAlignment="1">
      <alignment vertical="center"/>
    </xf>
    <xf numFmtId="0" fontId="18" fillId="9" borderId="4" xfId="0" applyFont="1" applyFill="1" applyBorder="1" applyAlignment="1">
      <alignment horizontal="center" vertical="center" textRotation="90" wrapText="1"/>
    </xf>
    <xf numFmtId="0" fontId="6" fillId="19" borderId="0" xfId="0" applyFont="1" applyFill="1" applyAlignment="1">
      <alignment vertical="center" textRotation="90"/>
    </xf>
    <xf numFmtId="0" fontId="18" fillId="19" borderId="0" xfId="0" applyFont="1" applyFill="1" applyAlignment="1">
      <alignment horizontal="center" vertical="center" textRotation="90"/>
    </xf>
    <xf numFmtId="0" fontId="18" fillId="0" borderId="8" xfId="0" applyFont="1" applyBorder="1" applyAlignment="1">
      <alignment horizontal="center" vertical="center" textRotation="90"/>
    </xf>
    <xf numFmtId="0" fontId="27" fillId="12" borderId="0" xfId="0" applyFont="1" applyFill="1" applyAlignment="1">
      <alignment horizontal="center" vertical="center" textRotation="90"/>
    </xf>
    <xf numFmtId="0" fontId="18" fillId="4" borderId="0" xfId="0" applyFont="1" applyFill="1" applyAlignment="1">
      <alignment horizontal="center" vertical="center" textRotation="90"/>
    </xf>
    <xf numFmtId="44" fontId="41" fillId="0" borderId="0" xfId="1" applyFont="1" applyFill="1" applyBorder="1" applyAlignment="1">
      <alignment horizontal="right" vertical="center" wrapText="1"/>
    </xf>
    <xf numFmtId="0" fontId="39" fillId="0" borderId="0" xfId="0" applyFont="1" applyAlignment="1">
      <alignment horizontal="center" vertical="center"/>
    </xf>
    <xf numFmtId="0" fontId="40" fillId="2" borderId="0" xfId="0" applyFont="1" applyFill="1" applyAlignment="1">
      <alignment horizontal="center" vertical="center"/>
    </xf>
    <xf numFmtId="0" fontId="38" fillId="2" borderId="0" xfId="0" applyFont="1" applyFill="1" applyAlignment="1">
      <alignment horizontal="right" vertical="center" wrapText="1"/>
    </xf>
    <xf numFmtId="0" fontId="39" fillId="2" borderId="0" xfId="0" applyFont="1" applyFill="1" applyAlignment="1">
      <alignment horizontal="right" vertical="center"/>
    </xf>
    <xf numFmtId="0" fontId="40" fillId="2" borderId="0" xfId="0" applyFont="1" applyFill="1" applyAlignment="1">
      <alignment horizontal="right" vertical="center" wrapText="1"/>
    </xf>
    <xf numFmtId="0" fontId="4" fillId="3" borderId="6" xfId="0" applyFont="1" applyFill="1" applyBorder="1" applyAlignment="1">
      <alignment horizontal="center" vertical="center" textRotation="90" wrapText="1"/>
    </xf>
    <xf numFmtId="165" fontId="29" fillId="0" borderId="11" xfId="1" applyNumberFormat="1" applyFont="1" applyBorder="1" applyAlignment="1">
      <alignment horizontal="center" vertical="center" wrapText="1"/>
    </xf>
    <xf numFmtId="44" fontId="31" fillId="0" borderId="11" xfId="1" applyFont="1" applyFill="1" applyBorder="1" applyAlignment="1">
      <alignment horizontal="center" vertical="center" wrapText="1"/>
    </xf>
    <xf numFmtId="0" fontId="2" fillId="16" borderId="4" xfId="0" applyFont="1" applyFill="1" applyBorder="1" applyAlignment="1">
      <alignment vertical="center"/>
    </xf>
    <xf numFmtId="0" fontId="26" fillId="14" borderId="14" xfId="0" applyFont="1" applyFill="1" applyBorder="1" applyAlignment="1">
      <alignment horizontal="center" vertical="center" wrapText="1"/>
    </xf>
    <xf numFmtId="0" fontId="17" fillId="11" borderId="14" xfId="0" applyFont="1" applyFill="1" applyBorder="1" applyAlignment="1">
      <alignment horizontal="center" vertical="center" wrapText="1"/>
    </xf>
    <xf numFmtId="0" fontId="26" fillId="14" borderId="11" xfId="0" applyFont="1" applyFill="1" applyBorder="1" applyAlignment="1">
      <alignment horizontal="center" vertical="center" wrapText="1"/>
    </xf>
    <xf numFmtId="165" fontId="42" fillId="2" borderId="18" xfId="0" applyNumberFormat="1" applyFont="1" applyFill="1" applyBorder="1" applyAlignment="1">
      <alignment horizontal="center" vertical="center" wrapText="1"/>
    </xf>
    <xf numFmtId="165" fontId="42" fillId="2" borderId="11" xfId="0" applyNumberFormat="1" applyFont="1" applyFill="1" applyBorder="1" applyAlignment="1">
      <alignment horizontal="center" vertical="center" wrapText="1"/>
    </xf>
    <xf numFmtId="165" fontId="42" fillId="4" borderId="11" xfId="0" applyNumberFormat="1" applyFont="1" applyFill="1" applyBorder="1" applyAlignment="1">
      <alignment horizontal="center" vertical="center" wrapText="1"/>
    </xf>
    <xf numFmtId="165" fontId="42" fillId="2" borderId="17" xfId="0" applyNumberFormat="1" applyFont="1" applyFill="1" applyBorder="1" applyAlignment="1">
      <alignment horizontal="center" vertical="center" wrapText="1"/>
    </xf>
    <xf numFmtId="0" fontId="2" fillId="16" borderId="23" xfId="0" applyFont="1" applyFill="1" applyBorder="1" applyAlignment="1">
      <alignment vertical="center"/>
    </xf>
    <xf numFmtId="165" fontId="35" fillId="0" borderId="12" xfId="1" applyNumberFormat="1" applyFont="1" applyBorder="1" applyAlignment="1">
      <alignment horizontal="center" vertical="center" wrapText="1"/>
    </xf>
    <xf numFmtId="165" fontId="29" fillId="2" borderId="11" xfId="1" applyNumberFormat="1" applyFont="1" applyFill="1" applyBorder="1" applyAlignment="1">
      <alignment horizontal="center" vertical="center" wrapText="1"/>
    </xf>
    <xf numFmtId="0" fontId="30" fillId="2" borderId="11" xfId="0" applyFont="1" applyFill="1" applyBorder="1" applyAlignment="1">
      <alignment horizontal="right" vertical="center" wrapText="1"/>
    </xf>
    <xf numFmtId="0" fontId="18" fillId="0" borderId="0" xfId="0" applyFont="1" applyAlignment="1">
      <alignment horizontal="center" vertical="center" textRotation="90"/>
    </xf>
    <xf numFmtId="0" fontId="31" fillId="0" borderId="11" xfId="0" applyFont="1" applyBorder="1" applyAlignment="1">
      <alignment vertical="center" wrapText="1"/>
    </xf>
    <xf numFmtId="165" fontId="42" fillId="0" borderId="11" xfId="1" applyNumberFormat="1" applyFont="1" applyBorder="1" applyAlignment="1">
      <alignment horizontal="center" vertical="center" wrapText="1"/>
    </xf>
    <xf numFmtId="164" fontId="31" fillId="0" borderId="11" xfId="1" applyNumberFormat="1" applyFont="1" applyBorder="1" applyAlignment="1">
      <alignment vertical="center" wrapText="1"/>
    </xf>
    <xf numFmtId="165" fontId="43" fillId="0" borderId="11" xfId="1" applyNumberFormat="1" applyFont="1" applyBorder="1" applyAlignment="1">
      <alignment horizontal="center" vertical="center" wrapText="1"/>
    </xf>
    <xf numFmtId="164" fontId="12" fillId="3" borderId="2" xfId="1" applyNumberFormat="1" applyFont="1" applyFill="1" applyBorder="1" applyAlignment="1">
      <alignment horizontal="center" vertical="center" wrapText="1"/>
    </xf>
    <xf numFmtId="0" fontId="28" fillId="0" borderId="0" xfId="0" applyFont="1" applyAlignment="1">
      <alignment horizontal="center" vertical="center" wrapText="1"/>
    </xf>
    <xf numFmtId="0" fontId="28" fillId="0" borderId="0" xfId="0" applyFont="1" applyAlignment="1">
      <alignment vertical="center" wrapText="1"/>
    </xf>
    <xf numFmtId="0" fontId="28" fillId="20" borderId="25" xfId="0" applyFont="1" applyFill="1" applyBorder="1" applyAlignment="1">
      <alignment vertical="center" wrapText="1"/>
    </xf>
    <xf numFmtId="0" fontId="18" fillId="20" borderId="26" xfId="0" applyFont="1" applyFill="1" applyBorder="1" applyAlignment="1">
      <alignment horizontal="center" vertical="center" textRotation="90"/>
    </xf>
    <xf numFmtId="0" fontId="18" fillId="20" borderId="8" xfId="0" applyFont="1" applyFill="1" applyBorder="1" applyAlignment="1">
      <alignment horizontal="center" vertical="center" textRotation="90"/>
    </xf>
    <xf numFmtId="0" fontId="2" fillId="20" borderId="26" xfId="0" applyFont="1" applyFill="1" applyBorder="1" applyAlignment="1">
      <alignment vertical="center"/>
    </xf>
    <xf numFmtId="0" fontId="2" fillId="16" borderId="4" xfId="0" applyFont="1" applyFill="1" applyBorder="1" applyAlignment="1">
      <alignment horizontal="left" vertical="center"/>
    </xf>
    <xf numFmtId="165" fontId="10" fillId="21" borderId="15" xfId="1" applyNumberFormat="1" applyFont="1" applyFill="1" applyBorder="1" applyAlignment="1">
      <alignment horizontal="center" vertical="center" wrapText="1"/>
    </xf>
    <xf numFmtId="0" fontId="5" fillId="0" borderId="0" xfId="0" applyFont="1" applyAlignment="1">
      <alignment vertical="center"/>
    </xf>
    <xf numFmtId="0" fontId="5" fillId="22" borderId="19" xfId="0" applyFont="1" applyFill="1" applyBorder="1" applyAlignment="1">
      <alignment vertical="center"/>
    </xf>
    <xf numFmtId="0" fontId="2" fillId="0" borderId="7" xfId="0" applyFont="1" applyBorder="1" applyAlignment="1">
      <alignment vertical="center"/>
    </xf>
    <xf numFmtId="0" fontId="2" fillId="18" borderId="7" xfId="0" applyFont="1" applyFill="1" applyBorder="1" applyAlignment="1">
      <alignment vertical="center"/>
    </xf>
    <xf numFmtId="0" fontId="2" fillId="18" borderId="6" xfId="0" applyFont="1" applyFill="1" applyBorder="1" applyAlignment="1">
      <alignment vertical="center"/>
    </xf>
    <xf numFmtId="0" fontId="2" fillId="18" borderId="23" xfId="0" applyFont="1" applyFill="1" applyBorder="1" applyAlignment="1">
      <alignment vertical="center"/>
    </xf>
    <xf numFmtId="0" fontId="32" fillId="15" borderId="18" xfId="0" applyFont="1" applyFill="1" applyBorder="1" applyAlignment="1">
      <alignment vertical="center" wrapText="1"/>
    </xf>
    <xf numFmtId="0" fontId="32" fillId="15" borderId="11" xfId="0" applyFont="1" applyFill="1" applyBorder="1" applyAlignment="1">
      <alignment vertical="center" wrapText="1"/>
    </xf>
    <xf numFmtId="44" fontId="9" fillId="16" borderId="0" xfId="1" applyFont="1" applyFill="1" applyBorder="1" applyAlignment="1">
      <alignment horizontal="center" vertical="center" wrapText="1"/>
    </xf>
    <xf numFmtId="44" fontId="9" fillId="0" borderId="1" xfId="1" applyFont="1" applyFill="1" applyBorder="1" applyAlignment="1">
      <alignment horizontal="center" vertical="center" wrapText="1"/>
    </xf>
    <xf numFmtId="0" fontId="18" fillId="0" borderId="26" xfId="0" applyFont="1" applyBorder="1" applyAlignment="1">
      <alignment horizontal="center" vertical="center" textRotation="90"/>
    </xf>
    <xf numFmtId="44" fontId="15" fillId="0" borderId="0" xfId="1" applyFont="1" applyFill="1" applyBorder="1" applyAlignment="1">
      <alignment horizontal="right" vertical="center" wrapText="1"/>
    </xf>
    <xf numFmtId="0" fontId="18" fillId="0" borderId="0" xfId="0" applyFont="1" applyAlignment="1">
      <alignment vertical="center" textRotation="90"/>
    </xf>
    <xf numFmtId="165" fontId="20" fillId="18" borderId="16" xfId="0" applyNumberFormat="1" applyFont="1" applyFill="1" applyBorder="1" applyAlignment="1">
      <alignment horizontal="center" vertical="center" wrapText="1"/>
    </xf>
    <xf numFmtId="0" fontId="2" fillId="2" borderId="26" xfId="0" applyFont="1" applyFill="1" applyBorder="1" applyAlignment="1">
      <alignment vertical="center"/>
    </xf>
    <xf numFmtId="0" fontId="18" fillId="19" borderId="1" xfId="0" applyFont="1" applyFill="1" applyBorder="1" applyAlignment="1">
      <alignment horizontal="center" vertical="center" textRotation="90"/>
    </xf>
    <xf numFmtId="0" fontId="18" fillId="19" borderId="26" xfId="0" applyFont="1" applyFill="1" applyBorder="1" applyAlignment="1">
      <alignment horizontal="center" vertical="center" textRotation="90"/>
    </xf>
    <xf numFmtId="0" fontId="18" fillId="0" borderId="8" xfId="0" applyFont="1" applyBorder="1" applyAlignment="1">
      <alignment vertical="center" textRotation="90"/>
    </xf>
    <xf numFmtId="44" fontId="15" fillId="0" borderId="8" xfId="1" applyFont="1" applyFill="1" applyBorder="1" applyAlignment="1">
      <alignment horizontal="right" vertical="center" wrapText="1"/>
    </xf>
    <xf numFmtId="165" fontId="20" fillId="0" borderId="8" xfId="0" applyNumberFormat="1" applyFont="1" applyBorder="1" applyAlignment="1">
      <alignment horizontal="center" vertical="center" wrapText="1"/>
    </xf>
    <xf numFmtId="0" fontId="2" fillId="0" borderId="8" xfId="0" applyFont="1" applyBorder="1" applyAlignment="1">
      <alignment vertical="center"/>
    </xf>
    <xf numFmtId="0" fontId="33" fillId="17" borderId="18" xfId="0" applyFont="1" applyFill="1" applyBorder="1" applyAlignment="1">
      <alignment horizontal="center" vertical="center"/>
    </xf>
    <xf numFmtId="165" fontId="45" fillId="22" borderId="9" xfId="0" applyNumberFormat="1" applyFont="1" applyFill="1" applyBorder="1" applyAlignment="1">
      <alignment horizontal="center" vertical="center" wrapText="1"/>
    </xf>
    <xf numFmtId="164" fontId="48" fillId="14" borderId="11" xfId="1" applyNumberFormat="1" applyFont="1" applyFill="1" applyBorder="1" applyAlignment="1">
      <alignment vertical="center" wrapText="1"/>
    </xf>
    <xf numFmtId="164" fontId="48" fillId="2" borderId="11" xfId="1" applyNumberFormat="1" applyFont="1" applyFill="1" applyBorder="1" applyAlignment="1">
      <alignment vertical="center" wrapText="1"/>
    </xf>
    <xf numFmtId="164" fontId="48" fillId="14" borderId="14" xfId="0" applyNumberFormat="1" applyFont="1" applyFill="1" applyBorder="1" applyAlignment="1">
      <alignment horizontal="center" vertical="center" wrapText="1"/>
    </xf>
    <xf numFmtId="164" fontId="43" fillId="0" borderId="11" xfId="1" applyNumberFormat="1" applyFont="1" applyFill="1" applyBorder="1" applyAlignment="1">
      <alignment horizontal="center" vertical="center" wrapText="1"/>
    </xf>
    <xf numFmtId="164" fontId="50" fillId="0" borderId="0" xfId="1" applyNumberFormat="1" applyFont="1" applyFill="1" applyBorder="1" applyAlignment="1">
      <alignment vertical="center" wrapText="1"/>
    </xf>
    <xf numFmtId="164" fontId="48" fillId="15" borderId="18" xfId="0" applyNumberFormat="1" applyFont="1" applyFill="1" applyBorder="1" applyAlignment="1">
      <alignment horizontal="center" vertical="center" wrapText="1"/>
    </xf>
    <xf numFmtId="164" fontId="48" fillId="15" borderId="11" xfId="0" applyNumberFormat="1" applyFont="1" applyFill="1" applyBorder="1" applyAlignment="1">
      <alignment vertical="center" wrapText="1"/>
    </xf>
    <xf numFmtId="164" fontId="48" fillId="2" borderId="17" xfId="0" applyNumberFormat="1" applyFont="1" applyFill="1" applyBorder="1" applyAlignment="1">
      <alignment vertical="center" wrapText="1"/>
    </xf>
    <xf numFmtId="164" fontId="47" fillId="0" borderId="0" xfId="0" applyNumberFormat="1" applyFont="1" applyAlignment="1">
      <alignment horizontal="center" vertical="center"/>
    </xf>
    <xf numFmtId="164" fontId="51" fillId="2" borderId="0" xfId="0" applyNumberFormat="1" applyFont="1" applyFill="1" applyAlignment="1">
      <alignment horizontal="center" vertical="center" textRotation="90"/>
    </xf>
    <xf numFmtId="44" fontId="52" fillId="0" borderId="1" xfId="1" applyFont="1" applyFill="1" applyBorder="1" applyAlignment="1">
      <alignment horizontal="center" vertical="center" wrapText="1"/>
    </xf>
    <xf numFmtId="164" fontId="50" fillId="2" borderId="0" xfId="0" applyNumberFormat="1" applyFont="1" applyFill="1" applyAlignment="1">
      <alignment horizontal="center" vertical="center" wrapText="1"/>
    </xf>
    <xf numFmtId="164" fontId="43" fillId="0" borderId="18" xfId="1" applyNumberFormat="1" applyFont="1" applyBorder="1" applyAlignment="1">
      <alignment horizontal="center" vertical="center" wrapText="1"/>
    </xf>
    <xf numFmtId="164" fontId="53" fillId="2" borderId="0" xfId="0" applyNumberFormat="1" applyFont="1" applyFill="1" applyAlignment="1">
      <alignment horizontal="center" vertical="center" wrapText="1"/>
    </xf>
    <xf numFmtId="164" fontId="48" fillId="0" borderId="11" xfId="1" applyNumberFormat="1" applyFont="1" applyBorder="1" applyAlignment="1">
      <alignment horizontal="center" vertical="center" wrapText="1"/>
    </xf>
    <xf numFmtId="164" fontId="48" fillId="0" borderId="12" xfId="1" applyNumberFormat="1" applyFont="1" applyBorder="1" applyAlignment="1">
      <alignment horizontal="center" vertical="center" wrapText="1"/>
    </xf>
    <xf numFmtId="164" fontId="49" fillId="0" borderId="8" xfId="0" applyNumberFormat="1" applyFont="1" applyBorder="1" applyAlignment="1">
      <alignment horizontal="right" vertical="center" wrapText="1"/>
    </xf>
    <xf numFmtId="164" fontId="14" fillId="0" borderId="0" xfId="0" applyNumberFormat="1" applyFont="1" applyAlignment="1">
      <alignment horizontal="center" vertical="center" wrapText="1"/>
    </xf>
    <xf numFmtId="164" fontId="54" fillId="2" borderId="0" xfId="0" applyNumberFormat="1" applyFont="1" applyFill="1" applyAlignment="1">
      <alignment horizontal="center" vertical="center" wrapText="1"/>
    </xf>
    <xf numFmtId="164" fontId="48" fillId="0" borderId="11" xfId="1" applyNumberFormat="1" applyFont="1" applyFill="1" applyBorder="1" applyAlignment="1">
      <alignment horizontal="center" vertical="center" wrapText="1"/>
    </xf>
    <xf numFmtId="0" fontId="2" fillId="20" borderId="0" xfId="0" applyFont="1" applyFill="1" applyAlignment="1">
      <alignment vertical="center"/>
    </xf>
    <xf numFmtId="0" fontId="2" fillId="20" borderId="0" xfId="0" applyFont="1" applyFill="1" applyAlignment="1">
      <alignment horizontal="left" vertical="center"/>
    </xf>
    <xf numFmtId="165" fontId="5" fillId="4" borderId="17" xfId="1" applyNumberFormat="1" applyFont="1" applyFill="1" applyBorder="1" applyAlignment="1">
      <alignment horizontal="right" vertical="center" wrapText="1"/>
    </xf>
    <xf numFmtId="165" fontId="5" fillId="4" borderId="11" xfId="0" applyNumberFormat="1" applyFont="1" applyFill="1" applyBorder="1" applyAlignment="1">
      <alignment horizontal="right" vertical="center" wrapText="1"/>
    </xf>
    <xf numFmtId="165" fontId="46" fillId="2" borderId="0" xfId="0" applyNumberFormat="1" applyFont="1" applyFill="1" applyAlignment="1">
      <alignment horizontal="right" vertical="center" textRotation="90"/>
    </xf>
    <xf numFmtId="165" fontId="55" fillId="2" borderId="0" xfId="0" applyNumberFormat="1" applyFont="1" applyFill="1" applyAlignment="1">
      <alignment horizontal="right" vertical="center" wrapText="1"/>
    </xf>
    <xf numFmtId="0" fontId="25" fillId="0" borderId="11" xfId="0" applyFont="1" applyBorder="1" applyAlignment="1">
      <alignment horizontal="right" vertical="center" wrapText="1"/>
    </xf>
    <xf numFmtId="165" fontId="29" fillId="17" borderId="11" xfId="1" applyNumberFormat="1" applyFont="1" applyFill="1" applyBorder="1" applyAlignment="1">
      <alignment horizontal="center" vertical="center" wrapText="1"/>
    </xf>
    <xf numFmtId="165" fontId="56" fillId="17" borderId="17" xfId="1" applyNumberFormat="1" applyFont="1" applyFill="1" applyBorder="1" applyAlignment="1">
      <alignment horizontal="center" vertical="center" wrapText="1"/>
    </xf>
    <xf numFmtId="164" fontId="48" fillId="17" borderId="11" xfId="1" applyNumberFormat="1" applyFont="1" applyFill="1" applyBorder="1" applyAlignment="1">
      <alignment vertical="center" wrapText="1"/>
    </xf>
    <xf numFmtId="0" fontId="32" fillId="17" borderId="11" xfId="0" applyFont="1" applyFill="1" applyBorder="1" applyAlignment="1">
      <alignment vertical="center" wrapText="1"/>
    </xf>
    <xf numFmtId="164" fontId="48" fillId="17" borderId="11" xfId="0" applyNumberFormat="1" applyFont="1" applyFill="1" applyBorder="1" applyAlignment="1">
      <alignment vertical="center" wrapText="1"/>
    </xf>
    <xf numFmtId="0" fontId="58" fillId="0" borderId="0" xfId="0" applyFont="1" applyAlignment="1">
      <alignment vertical="center"/>
    </xf>
    <xf numFmtId="165" fontId="62" fillId="0" borderId="11" xfId="1" applyNumberFormat="1" applyFont="1" applyFill="1" applyBorder="1" applyAlignment="1">
      <alignment horizontal="center" vertical="center" wrapText="1"/>
    </xf>
    <xf numFmtId="165" fontId="59" fillId="0" borderId="11" xfId="1" applyNumberFormat="1" applyFont="1" applyBorder="1" applyAlignment="1">
      <alignment horizontal="center" vertical="center" wrapText="1"/>
    </xf>
    <xf numFmtId="0" fontId="61"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63" fillId="0" borderId="0" xfId="0" applyFont="1" applyAlignment="1">
      <alignment vertical="center"/>
    </xf>
    <xf numFmtId="0" fontId="2" fillId="0" borderId="11" xfId="0" applyFont="1" applyBorder="1" applyAlignment="1">
      <alignment vertical="center"/>
    </xf>
    <xf numFmtId="164" fontId="43" fillId="2" borderId="11" xfId="1" applyNumberFormat="1" applyFont="1" applyFill="1" applyBorder="1" applyAlignment="1">
      <alignment vertical="center" wrapText="1"/>
    </xf>
    <xf numFmtId="0" fontId="31" fillId="0" borderId="11" xfId="0" applyFont="1" applyBorder="1" applyAlignment="1">
      <alignment horizontal="left" vertical="top" wrapText="1"/>
    </xf>
    <xf numFmtId="0" fontId="31" fillId="0" borderId="11" xfId="0" applyFont="1" applyBorder="1" applyAlignment="1">
      <alignment horizontal="left" vertical="center" wrapText="1"/>
    </xf>
    <xf numFmtId="0" fontId="32" fillId="17" borderId="17" xfId="0" applyFont="1" applyFill="1" applyBorder="1" applyAlignment="1">
      <alignment vertical="center" wrapText="1"/>
    </xf>
    <xf numFmtId="165" fontId="22" fillId="0" borderId="17" xfId="1" applyNumberFormat="1" applyFont="1" applyBorder="1" applyAlignment="1">
      <alignment horizontal="center" vertical="center" wrapText="1"/>
    </xf>
    <xf numFmtId="164" fontId="48" fillId="17" borderId="17" xfId="0" applyNumberFormat="1" applyFont="1" applyFill="1" applyBorder="1" applyAlignment="1">
      <alignment vertical="center" wrapText="1"/>
    </xf>
    <xf numFmtId="0" fontId="31" fillId="2" borderId="17" xfId="0" applyFont="1" applyFill="1" applyBorder="1" applyAlignment="1">
      <alignment horizontal="left" vertical="center" wrapText="1"/>
    </xf>
    <xf numFmtId="0" fontId="31" fillId="2" borderId="11" xfId="0" applyFont="1" applyFill="1" applyBorder="1" applyAlignment="1">
      <alignment horizontal="left" vertical="center" wrapText="1"/>
    </xf>
    <xf numFmtId="0" fontId="26" fillId="17" borderId="17" xfId="0" applyFont="1" applyFill="1" applyBorder="1" applyAlignment="1">
      <alignment horizontal="left" vertical="center" wrapText="1"/>
    </xf>
    <xf numFmtId="0" fontId="26" fillId="17" borderId="11" xfId="0" applyFont="1" applyFill="1" applyBorder="1" applyAlignment="1">
      <alignment horizontal="left" vertical="center" wrapText="1"/>
    </xf>
    <xf numFmtId="0" fontId="64" fillId="0" borderId="11" xfId="0" applyFont="1" applyBorder="1" applyAlignment="1">
      <alignment vertical="center"/>
    </xf>
    <xf numFmtId="164" fontId="43" fillId="0" borderId="11" xfId="1" applyNumberFormat="1" applyFont="1" applyBorder="1" applyAlignment="1">
      <alignment vertical="center" wrapText="1"/>
    </xf>
    <xf numFmtId="0" fontId="31" fillId="0" borderId="11" xfId="0" applyFont="1" applyBorder="1" applyAlignment="1">
      <alignment horizontal="left" vertical="center"/>
    </xf>
    <xf numFmtId="164" fontId="43" fillId="2" borderId="11" xfId="0" applyNumberFormat="1" applyFont="1" applyFill="1" applyBorder="1" applyAlignment="1">
      <alignment vertical="center" wrapText="1"/>
    </xf>
    <xf numFmtId="0" fontId="31" fillId="0" borderId="18" xfId="0" applyFont="1" applyBorder="1" applyAlignment="1">
      <alignment vertical="center" wrapText="1"/>
    </xf>
    <xf numFmtId="164" fontId="43" fillId="2" borderId="11" xfId="0" applyNumberFormat="1" applyFont="1" applyFill="1" applyBorder="1" applyAlignment="1">
      <alignment horizontal="center" vertical="center" wrapText="1"/>
    </xf>
    <xf numFmtId="0" fontId="31" fillId="0" borderId="17" xfId="0" applyFont="1" applyBorder="1" applyAlignment="1">
      <alignment horizontal="left" vertical="center" wrapText="1"/>
    </xf>
    <xf numFmtId="0" fontId="30" fillId="0" borderId="11" xfId="0" applyFont="1" applyBorder="1" applyAlignment="1">
      <alignment horizontal="left" vertical="center" wrapText="1"/>
    </xf>
    <xf numFmtId="0" fontId="65" fillId="0" borderId="11" xfId="0" applyFont="1" applyBorder="1" applyAlignment="1">
      <alignment vertical="center" wrapText="1"/>
    </xf>
    <xf numFmtId="166" fontId="65" fillId="0" borderId="11" xfId="0" applyNumberFormat="1" applyFont="1" applyBorder="1" applyAlignment="1">
      <alignment horizontal="center" vertical="center"/>
    </xf>
    <xf numFmtId="0" fontId="4" fillId="0" borderId="17" xfId="0" applyFont="1" applyBorder="1" applyAlignment="1">
      <alignment horizontal="center" vertical="center" wrapText="1"/>
    </xf>
    <xf numFmtId="0" fontId="5" fillId="17" borderId="11" xfId="0" applyFont="1" applyFill="1" applyBorder="1" applyAlignment="1">
      <alignment horizontal="center" vertical="center" wrapText="1"/>
    </xf>
    <xf numFmtId="0" fontId="46" fillId="17" borderId="11" xfId="0" applyFont="1" applyFill="1" applyBorder="1" applyAlignment="1">
      <alignment horizontal="center" vertical="center" wrapText="1"/>
    </xf>
    <xf numFmtId="0" fontId="26" fillId="14" borderId="11" xfId="0" applyFont="1" applyFill="1" applyBorder="1" applyAlignment="1">
      <alignment horizontal="left" vertical="center" wrapText="1"/>
    </xf>
    <xf numFmtId="0" fontId="21" fillId="15" borderId="18" xfId="0" applyFont="1" applyFill="1" applyBorder="1" applyAlignment="1">
      <alignment horizontal="center" vertical="center" wrapText="1"/>
    </xf>
    <xf numFmtId="0" fontId="21" fillId="15" borderId="11" xfId="0" applyFont="1" applyFill="1" applyBorder="1" applyAlignment="1">
      <alignment horizontal="center" vertical="center" wrapText="1"/>
    </xf>
    <xf numFmtId="0" fontId="43" fillId="3" borderId="11" xfId="0" applyFont="1" applyFill="1" applyBorder="1" applyAlignment="1">
      <alignment horizontal="left" vertical="center" wrapText="1"/>
    </xf>
    <xf numFmtId="164" fontId="47" fillId="0" borderId="11" xfId="0" applyNumberFormat="1" applyFont="1" applyBorder="1" applyAlignment="1">
      <alignment horizontal="center" vertical="center"/>
    </xf>
    <xf numFmtId="165" fontId="46" fillId="27" borderId="16" xfId="1" applyNumberFormat="1" applyFont="1" applyFill="1" applyBorder="1" applyAlignment="1">
      <alignment horizontal="right" vertical="center" wrapText="1"/>
    </xf>
    <xf numFmtId="164" fontId="48" fillId="2" borderId="11" xfId="0" applyNumberFormat="1" applyFont="1" applyFill="1" applyBorder="1" applyAlignment="1">
      <alignment horizontal="center" vertical="center" wrapText="1"/>
    </xf>
    <xf numFmtId="164" fontId="31" fillId="2" borderId="11" xfId="1" applyNumberFormat="1" applyFont="1" applyFill="1" applyBorder="1" applyAlignment="1">
      <alignment vertical="center" wrapText="1"/>
    </xf>
    <xf numFmtId="164" fontId="31" fillId="2" borderId="11" xfId="0" applyNumberFormat="1" applyFont="1" applyFill="1" applyBorder="1" applyAlignment="1">
      <alignment horizontal="center" vertical="center" wrapText="1"/>
    </xf>
    <xf numFmtId="164" fontId="71" fillId="0" borderId="0" xfId="0" applyNumberFormat="1" applyFont="1" applyAlignment="1">
      <alignment horizontal="center" vertical="center"/>
    </xf>
    <xf numFmtId="164" fontId="72" fillId="14" borderId="11" xfId="1" applyNumberFormat="1" applyFont="1" applyFill="1" applyBorder="1" applyAlignment="1">
      <alignment vertical="center" wrapText="1"/>
    </xf>
    <xf numFmtId="164" fontId="72" fillId="17" borderId="11" xfId="1" applyNumberFormat="1" applyFont="1" applyFill="1" applyBorder="1" applyAlignment="1">
      <alignment vertical="center" wrapText="1"/>
    </xf>
    <xf numFmtId="164" fontId="31" fillId="2" borderId="11" xfId="1" applyNumberFormat="1" applyFont="1" applyFill="1" applyBorder="1" applyAlignment="1">
      <alignment horizontal="center" vertical="center" wrapText="1"/>
    </xf>
    <xf numFmtId="164" fontId="72" fillId="2" borderId="11" xfId="1" applyNumberFormat="1" applyFont="1" applyFill="1" applyBorder="1" applyAlignment="1">
      <alignment vertical="center" wrapText="1"/>
    </xf>
    <xf numFmtId="164" fontId="72" fillId="17" borderId="11" xfId="0" applyNumberFormat="1" applyFont="1" applyFill="1" applyBorder="1" applyAlignment="1">
      <alignment vertical="center" wrapText="1"/>
    </xf>
    <xf numFmtId="164" fontId="72" fillId="17" borderId="17" xfId="0" applyNumberFormat="1" applyFont="1" applyFill="1" applyBorder="1" applyAlignment="1">
      <alignment vertical="center" wrapText="1"/>
    </xf>
    <xf numFmtId="164" fontId="72" fillId="14" borderId="14" xfId="0" applyNumberFormat="1" applyFont="1" applyFill="1" applyBorder="1" applyAlignment="1">
      <alignment horizontal="center" vertical="center" wrapText="1"/>
    </xf>
    <xf numFmtId="164" fontId="57" fillId="0" borderId="0" xfId="1" applyNumberFormat="1" applyFont="1" applyFill="1" applyBorder="1" applyAlignment="1">
      <alignment vertical="center" wrapText="1"/>
    </xf>
    <xf numFmtId="164" fontId="72" fillId="15" borderId="18" xfId="0" applyNumberFormat="1" applyFont="1" applyFill="1" applyBorder="1" applyAlignment="1">
      <alignment horizontal="center" vertical="center" wrapText="1"/>
    </xf>
    <xf numFmtId="164" fontId="31" fillId="2" borderId="11" xfId="0" applyNumberFormat="1" applyFont="1" applyFill="1" applyBorder="1" applyAlignment="1">
      <alignment vertical="center" wrapText="1"/>
    </xf>
    <xf numFmtId="164" fontId="72" fillId="15" borderId="11" xfId="0" applyNumberFormat="1" applyFont="1" applyFill="1" applyBorder="1" applyAlignment="1">
      <alignment vertical="center" wrapText="1"/>
    </xf>
    <xf numFmtId="164" fontId="72" fillId="2" borderId="17" xfId="0" applyNumberFormat="1" applyFont="1" applyFill="1" applyBorder="1" applyAlignment="1">
      <alignment vertical="center" wrapText="1"/>
    </xf>
    <xf numFmtId="164" fontId="72" fillId="2" borderId="11" xfId="0" applyNumberFormat="1" applyFont="1" applyFill="1" applyBorder="1" applyAlignment="1">
      <alignment horizontal="center" vertical="center" wrapText="1"/>
    </xf>
    <xf numFmtId="164" fontId="73" fillId="2" borderId="0" xfId="0" applyNumberFormat="1" applyFont="1" applyFill="1" applyAlignment="1">
      <alignment horizontal="center" vertical="center" textRotation="90"/>
    </xf>
    <xf numFmtId="164" fontId="31" fillId="0" borderId="11" xfId="1" applyNumberFormat="1" applyFont="1" applyFill="1" applyBorder="1" applyAlignment="1">
      <alignment horizontal="center" vertical="center" wrapText="1"/>
    </xf>
    <xf numFmtId="164" fontId="72" fillId="0" borderId="11" xfId="1" applyNumberFormat="1" applyFont="1" applyFill="1" applyBorder="1" applyAlignment="1">
      <alignment horizontal="center" vertical="center" wrapText="1"/>
    </xf>
    <xf numFmtId="164" fontId="57" fillId="2" borderId="0" xfId="0" applyNumberFormat="1" applyFont="1" applyFill="1" applyAlignment="1">
      <alignment horizontal="center" vertical="center" wrapText="1"/>
    </xf>
    <xf numFmtId="164" fontId="31" fillId="0" borderId="18" xfId="1" applyNumberFormat="1" applyFont="1" applyBorder="1" applyAlignment="1">
      <alignment horizontal="center" vertical="center" wrapText="1"/>
    </xf>
    <xf numFmtId="164" fontId="74" fillId="2" borderId="0" xfId="0" applyNumberFormat="1" applyFont="1" applyFill="1" applyAlignment="1">
      <alignment horizontal="center" vertical="center" wrapText="1"/>
    </xf>
    <xf numFmtId="164" fontId="75" fillId="0" borderId="8" xfId="0" applyNumberFormat="1" applyFont="1" applyBorder="1" applyAlignment="1">
      <alignment horizontal="right" vertical="center" wrapText="1"/>
    </xf>
    <xf numFmtId="164" fontId="69" fillId="0" borderId="0" xfId="0" applyNumberFormat="1" applyFont="1" applyAlignment="1">
      <alignment horizontal="center" vertical="center" wrapText="1"/>
    </xf>
    <xf numFmtId="164" fontId="31" fillId="3" borderId="11" xfId="0" applyNumberFormat="1" applyFont="1" applyFill="1" applyBorder="1" applyAlignment="1">
      <alignment horizontal="center" vertical="center" wrapText="1"/>
    </xf>
    <xf numFmtId="164" fontId="31" fillId="0" borderId="11" xfId="0" applyNumberFormat="1" applyFont="1" applyBorder="1" applyAlignment="1">
      <alignment horizontal="center" vertical="center" wrapText="1"/>
    </xf>
    <xf numFmtId="164" fontId="76" fillId="2" borderId="0" xfId="0" applyNumberFormat="1" applyFont="1" applyFill="1" applyAlignment="1">
      <alignment horizontal="center" vertical="center" wrapText="1"/>
    </xf>
    <xf numFmtId="0" fontId="31" fillId="2" borderId="11" xfId="0" applyFont="1" applyFill="1" applyBorder="1" applyAlignment="1">
      <alignment horizontal="center" vertical="center" wrapText="1"/>
    </xf>
    <xf numFmtId="165" fontId="64" fillId="0" borderId="11" xfId="0" applyNumberFormat="1" applyFont="1" applyBorder="1" applyAlignment="1">
      <alignment vertical="center"/>
    </xf>
    <xf numFmtId="164" fontId="31" fillId="2" borderId="18" xfId="0" applyNumberFormat="1" applyFont="1" applyFill="1" applyBorder="1" applyAlignment="1">
      <alignment horizontal="center" vertical="center" wrapText="1"/>
    </xf>
    <xf numFmtId="165" fontId="5" fillId="2" borderId="0" xfId="0" applyNumberFormat="1" applyFont="1" applyFill="1" applyAlignment="1">
      <alignment horizontal="right" vertical="center"/>
    </xf>
    <xf numFmtId="165" fontId="55" fillId="2" borderId="0" xfId="1" applyNumberFormat="1" applyFont="1" applyFill="1" applyBorder="1" applyAlignment="1">
      <alignment horizontal="right" vertical="center" wrapText="1"/>
    </xf>
    <xf numFmtId="165" fontId="5" fillId="2" borderId="1" xfId="1" applyNumberFormat="1" applyFont="1" applyFill="1" applyBorder="1" applyAlignment="1">
      <alignment horizontal="center" vertical="center" wrapText="1"/>
    </xf>
    <xf numFmtId="165" fontId="46" fillId="2" borderId="8" xfId="0" applyNumberFormat="1" applyFont="1" applyFill="1" applyBorder="1" applyAlignment="1">
      <alignment horizontal="right" vertical="center" wrapText="1"/>
    </xf>
    <xf numFmtId="165" fontId="5" fillId="2" borderId="0" xfId="0" applyNumberFormat="1" applyFont="1" applyFill="1" applyAlignment="1">
      <alignment horizontal="right" vertical="center" wrapText="1"/>
    </xf>
    <xf numFmtId="165" fontId="31" fillId="28" borderId="17" xfId="1" applyNumberFormat="1" applyFont="1" applyFill="1" applyBorder="1" applyAlignment="1">
      <alignment vertical="center" wrapText="1"/>
    </xf>
    <xf numFmtId="164" fontId="31" fillId="28" borderId="11" xfId="0" applyNumberFormat="1" applyFont="1" applyFill="1" applyBorder="1" applyAlignment="1">
      <alignment horizontal="center" vertical="center" wrapText="1"/>
    </xf>
    <xf numFmtId="165" fontId="19" fillId="28" borderId="11" xfId="1" applyNumberFormat="1" applyFont="1" applyFill="1" applyBorder="1" applyAlignment="1">
      <alignment horizontal="right" vertical="center" wrapText="1"/>
    </xf>
    <xf numFmtId="165" fontId="19" fillId="28" borderId="17" xfId="1" applyNumberFormat="1" applyFont="1" applyFill="1" applyBorder="1" applyAlignment="1">
      <alignment horizontal="right" vertical="center" wrapText="1"/>
    </xf>
    <xf numFmtId="164" fontId="31" fillId="28" borderId="17" xfId="0" applyNumberFormat="1" applyFont="1" applyFill="1" applyBorder="1" applyAlignment="1">
      <alignment horizontal="left" vertical="center" wrapText="1"/>
    </xf>
    <xf numFmtId="164" fontId="25" fillId="28" borderId="17" xfId="0" applyNumberFormat="1" applyFont="1" applyFill="1" applyBorder="1" applyAlignment="1">
      <alignment horizontal="left" vertical="center" wrapText="1"/>
    </xf>
    <xf numFmtId="165" fontId="57" fillId="28" borderId="11" xfId="1" applyNumberFormat="1" applyFont="1" applyFill="1" applyBorder="1" applyAlignment="1">
      <alignment horizontal="right" vertical="center" wrapText="1"/>
    </xf>
    <xf numFmtId="165" fontId="56" fillId="28" borderId="17" xfId="1" applyNumberFormat="1" applyFont="1" applyFill="1" applyBorder="1" applyAlignment="1">
      <alignment horizontal="right" vertical="center" wrapText="1"/>
    </xf>
    <xf numFmtId="164" fontId="31" fillId="28" borderId="11" xfId="0" applyNumberFormat="1" applyFont="1" applyFill="1" applyBorder="1" applyAlignment="1">
      <alignment horizontal="right" vertical="center" wrapText="1"/>
    </xf>
    <xf numFmtId="165" fontId="55" fillId="28" borderId="11" xfId="1" applyNumberFormat="1" applyFont="1" applyFill="1" applyBorder="1" applyAlignment="1">
      <alignment horizontal="right" vertical="center" wrapText="1"/>
    </xf>
    <xf numFmtId="165" fontId="57" fillId="28" borderId="14" xfId="1" applyNumberFormat="1" applyFont="1" applyFill="1" applyBorder="1" applyAlignment="1">
      <alignment horizontal="right" vertical="center" wrapText="1"/>
    </xf>
    <xf numFmtId="165" fontId="19" fillId="28" borderId="18" xfId="0" applyNumberFormat="1" applyFont="1" applyFill="1" applyBorder="1" applyAlignment="1">
      <alignment horizontal="right" vertical="center" wrapText="1"/>
    </xf>
    <xf numFmtId="164" fontId="31" fillId="28" borderId="11" xfId="0" applyNumberFormat="1" applyFont="1" applyFill="1" applyBorder="1" applyAlignment="1">
      <alignment horizontal="left" vertical="center" wrapText="1"/>
    </xf>
    <xf numFmtId="165" fontId="19" fillId="28" borderId="11" xfId="0" applyNumberFormat="1" applyFont="1" applyFill="1" applyBorder="1" applyAlignment="1">
      <alignment horizontal="right" vertical="center" wrapText="1"/>
    </xf>
    <xf numFmtId="164" fontId="31" fillId="28" borderId="11" xfId="1" applyNumberFormat="1" applyFont="1" applyFill="1" applyBorder="1" applyAlignment="1">
      <alignment horizontal="center" vertical="center" wrapText="1"/>
    </xf>
    <xf numFmtId="165" fontId="5" fillId="28" borderId="15" xfId="1" applyNumberFormat="1" applyFont="1" applyFill="1" applyBorder="1" applyAlignment="1">
      <alignment horizontal="center" vertical="center" wrapText="1"/>
    </xf>
    <xf numFmtId="166" fontId="65" fillId="28" borderId="18" xfId="0" applyNumberFormat="1" applyFont="1" applyFill="1" applyBorder="1" applyAlignment="1">
      <alignment horizontal="center" vertical="center"/>
    </xf>
    <xf numFmtId="165" fontId="55" fillId="28" borderId="0" xfId="0" applyNumberFormat="1" applyFont="1" applyFill="1" applyAlignment="1">
      <alignment horizontal="right" vertical="center" wrapText="1"/>
    </xf>
    <xf numFmtId="165" fontId="46" fillId="28" borderId="16" xfId="0" applyNumberFormat="1" applyFont="1" applyFill="1" applyBorder="1" applyAlignment="1">
      <alignment horizontal="right" vertical="center" wrapText="1"/>
    </xf>
    <xf numFmtId="0" fontId="21" fillId="14" borderId="18" xfId="0" applyFont="1" applyFill="1" applyBorder="1" applyAlignment="1">
      <alignment horizontal="center" vertical="center" wrapText="1"/>
    </xf>
    <xf numFmtId="165" fontId="29" fillId="0" borderId="18" xfId="1" applyNumberFormat="1" applyFont="1" applyBorder="1" applyAlignment="1">
      <alignment horizontal="center" vertical="center" wrapText="1"/>
    </xf>
    <xf numFmtId="0" fontId="5" fillId="28" borderId="18" xfId="1" applyNumberFormat="1" applyFont="1" applyFill="1" applyBorder="1" applyAlignment="1">
      <alignment horizontal="right" vertical="center" wrapText="1"/>
    </xf>
    <xf numFmtId="164" fontId="48" fillId="14" borderId="18" xfId="1" applyNumberFormat="1" applyFont="1" applyFill="1" applyBorder="1" applyAlignment="1">
      <alignment vertical="center" wrapText="1"/>
    </xf>
    <xf numFmtId="164" fontId="72" fillId="14" borderId="18" xfId="1" applyNumberFormat="1" applyFont="1" applyFill="1" applyBorder="1" applyAlignment="1">
      <alignment vertical="center" wrapText="1"/>
    </xf>
    <xf numFmtId="164" fontId="43" fillId="2" borderId="18" xfId="0" applyNumberFormat="1" applyFont="1" applyFill="1" applyBorder="1" applyAlignment="1">
      <alignment horizontal="center" vertical="center" wrapText="1"/>
    </xf>
    <xf numFmtId="0" fontId="65" fillId="0" borderId="18" xfId="0" applyFont="1" applyBorder="1" applyAlignment="1">
      <alignment vertical="center" wrapText="1"/>
    </xf>
    <xf numFmtId="166" fontId="65" fillId="0" borderId="18" xfId="0" applyNumberFormat="1" applyFont="1" applyBorder="1" applyAlignment="1">
      <alignment horizontal="center" vertical="center"/>
    </xf>
    <xf numFmtId="0" fontId="2" fillId="18" borderId="16" xfId="0" applyFont="1" applyFill="1" applyBorder="1" applyAlignment="1">
      <alignment vertical="center" wrapText="1"/>
    </xf>
    <xf numFmtId="164" fontId="31" fillId="0" borderId="18" xfId="1" applyNumberFormat="1" applyFont="1" applyBorder="1" applyAlignment="1">
      <alignment vertical="center" wrapText="1"/>
    </xf>
    <xf numFmtId="165" fontId="43" fillId="0" borderId="18" xfId="1" applyNumberFormat="1" applyFont="1" applyBorder="1" applyAlignment="1">
      <alignment horizontal="center" vertical="center" wrapText="1"/>
    </xf>
    <xf numFmtId="164" fontId="48" fillId="0" borderId="18" xfId="1" applyNumberFormat="1" applyFont="1" applyBorder="1" applyAlignment="1">
      <alignment horizontal="center" vertical="center" wrapText="1"/>
    </xf>
    <xf numFmtId="0" fontId="2" fillId="29" borderId="16" xfId="0" applyFont="1" applyFill="1" applyBorder="1" applyAlignment="1">
      <alignment vertical="center" wrapText="1"/>
    </xf>
    <xf numFmtId="0" fontId="33" fillId="17" borderId="17" xfId="0" applyFont="1" applyFill="1" applyBorder="1" applyAlignment="1">
      <alignment vertical="center" wrapText="1"/>
    </xf>
    <xf numFmtId="0" fontId="32" fillId="17" borderId="11" xfId="0" applyFont="1" applyFill="1" applyBorder="1" applyAlignment="1">
      <alignment horizontal="center" vertical="center" wrapText="1"/>
    </xf>
    <xf numFmtId="0" fontId="32" fillId="17" borderId="12" xfId="0" applyFont="1" applyFill="1" applyBorder="1" applyAlignment="1">
      <alignment horizontal="center" vertical="center" textRotation="90" wrapText="1"/>
    </xf>
    <xf numFmtId="0" fontId="33" fillId="17" borderId="11" xfId="0" applyFont="1" applyFill="1" applyBorder="1" applyAlignment="1">
      <alignment vertical="center" wrapText="1"/>
    </xf>
    <xf numFmtId="0" fontId="4" fillId="20" borderId="1" xfId="0" applyFont="1" applyFill="1" applyBorder="1" applyAlignment="1">
      <alignment horizontal="center" vertical="center" textRotation="90" wrapText="1"/>
    </xf>
    <xf numFmtId="0" fontId="15" fillId="20" borderId="1" xfId="0" applyFont="1" applyFill="1" applyBorder="1" applyAlignment="1">
      <alignment horizontal="center" vertical="center" wrapText="1"/>
    </xf>
    <xf numFmtId="166" fontId="12" fillId="20" borderId="1" xfId="1" applyNumberFormat="1" applyFont="1" applyFill="1" applyBorder="1" applyAlignment="1">
      <alignment horizontal="center" vertical="center" wrapText="1"/>
    </xf>
    <xf numFmtId="165" fontId="55" fillId="20" borderId="1" xfId="1" applyNumberFormat="1" applyFont="1" applyFill="1" applyBorder="1" applyAlignment="1">
      <alignment horizontal="right" vertical="center" wrapText="1"/>
    </xf>
    <xf numFmtId="164" fontId="12" fillId="20" borderId="1" xfId="1" applyNumberFormat="1" applyFont="1" applyFill="1" applyBorder="1" applyAlignment="1">
      <alignment horizontal="center" vertical="center" wrapText="1"/>
    </xf>
    <xf numFmtId="164" fontId="26" fillId="20" borderId="1" xfId="1" applyNumberFormat="1" applyFont="1" applyFill="1" applyBorder="1" applyAlignment="1">
      <alignment horizontal="center" vertical="center" wrapText="1"/>
    </xf>
    <xf numFmtId="0" fontId="6" fillId="20" borderId="0" xfId="0" applyFont="1" applyFill="1" applyAlignment="1">
      <alignment horizontal="center" vertical="center" wrapText="1"/>
    </xf>
    <xf numFmtId="0" fontId="18" fillId="17" borderId="33" xfId="0" applyFont="1" applyFill="1" applyBorder="1" applyAlignment="1">
      <alignment horizontal="center" vertical="center" textRotation="90" wrapText="1"/>
    </xf>
    <xf numFmtId="165" fontId="20" fillId="8" borderId="43" xfId="1" applyNumberFormat="1" applyFont="1" applyFill="1" applyBorder="1" applyAlignment="1">
      <alignment horizontal="center" vertical="center" wrapText="1"/>
    </xf>
    <xf numFmtId="165" fontId="15" fillId="17" borderId="43" xfId="1" applyNumberFormat="1" applyFont="1" applyFill="1" applyBorder="1" applyAlignment="1">
      <alignment horizontal="right" vertical="center" wrapText="1"/>
    </xf>
    <xf numFmtId="0" fontId="2" fillId="15" borderId="46" xfId="0" applyFont="1" applyFill="1" applyBorder="1" applyAlignment="1">
      <alignment vertical="center" wrapText="1"/>
    </xf>
    <xf numFmtId="165" fontId="13" fillId="2" borderId="56" xfId="1" applyNumberFormat="1" applyFont="1" applyFill="1" applyBorder="1" applyAlignment="1">
      <alignment horizontal="center" vertical="center" wrapText="1"/>
    </xf>
    <xf numFmtId="165" fontId="15" fillId="15" borderId="56" xfId="1" applyNumberFormat="1" applyFont="1" applyFill="1" applyBorder="1" applyAlignment="1">
      <alignment horizontal="right" vertical="center" wrapText="1"/>
    </xf>
    <xf numFmtId="0" fontId="2" fillId="5" borderId="59" xfId="0" applyFont="1" applyFill="1" applyBorder="1" applyAlignment="1">
      <alignment vertical="center" wrapText="1"/>
    </xf>
    <xf numFmtId="165" fontId="20" fillId="7" borderId="68" xfId="1" applyNumberFormat="1" applyFont="1" applyFill="1" applyBorder="1" applyAlignment="1">
      <alignment horizontal="center" vertical="center" wrapText="1"/>
    </xf>
    <xf numFmtId="164" fontId="15" fillId="5" borderId="69" xfId="1" applyNumberFormat="1" applyFont="1" applyFill="1" applyBorder="1" applyAlignment="1">
      <alignment horizontal="right" vertical="center" wrapText="1"/>
    </xf>
    <xf numFmtId="0" fontId="2" fillId="19" borderId="72" xfId="0" applyFont="1" applyFill="1" applyBorder="1" applyAlignment="1">
      <alignment vertical="center" wrapText="1"/>
    </xf>
    <xf numFmtId="165" fontId="20" fillId="19" borderId="88" xfId="0" applyNumberFormat="1" applyFont="1" applyFill="1" applyBorder="1" applyAlignment="1">
      <alignment horizontal="center" vertical="center" wrapText="1"/>
    </xf>
    <xf numFmtId="165" fontId="15" fillId="19" borderId="88" xfId="0" applyNumberFormat="1" applyFont="1" applyFill="1" applyBorder="1" applyAlignment="1">
      <alignment horizontal="right" vertical="center" wrapText="1"/>
    </xf>
    <xf numFmtId="165" fontId="15" fillId="28" borderId="88" xfId="0" applyNumberFormat="1" applyFont="1" applyFill="1" applyBorder="1" applyAlignment="1">
      <alignment horizontal="right" vertical="center" wrapText="1"/>
    </xf>
    <xf numFmtId="0" fontId="15" fillId="0" borderId="26" xfId="0" applyFont="1" applyBorder="1" applyAlignment="1">
      <alignment horizontal="right" vertical="center"/>
    </xf>
    <xf numFmtId="0" fontId="15" fillId="0" borderId="27" xfId="0" applyFont="1" applyBorder="1" applyAlignment="1">
      <alignment horizontal="right" vertical="center"/>
    </xf>
    <xf numFmtId="165" fontId="20" fillId="0" borderId="24" xfId="0" applyNumberFormat="1" applyFont="1" applyBorder="1" applyAlignment="1">
      <alignment horizontal="center" vertical="center" wrapText="1"/>
    </xf>
    <xf numFmtId="165" fontId="46" fillId="2" borderId="24" xfId="0" applyNumberFormat="1" applyFont="1" applyFill="1" applyBorder="1" applyAlignment="1">
      <alignment horizontal="right" vertical="center" wrapText="1"/>
    </xf>
    <xf numFmtId="164" fontId="12" fillId="0" borderId="24" xfId="0" applyNumberFormat="1" applyFont="1" applyBorder="1" applyAlignment="1">
      <alignment horizontal="right" vertical="center" wrapText="1"/>
    </xf>
    <xf numFmtId="164" fontId="26" fillId="0" borderId="24" xfId="0" applyNumberFormat="1" applyFont="1" applyBorder="1" applyAlignment="1">
      <alignment horizontal="right" vertical="center" wrapText="1"/>
    </xf>
    <xf numFmtId="0" fontId="2" fillId="12" borderId="91" xfId="0" applyFont="1" applyFill="1" applyBorder="1" applyAlignment="1">
      <alignment vertical="center" wrapText="1"/>
    </xf>
    <xf numFmtId="165" fontId="20" fillId="6" borderId="102" xfId="0" applyNumberFormat="1" applyFont="1" applyFill="1" applyBorder="1" applyAlignment="1">
      <alignment horizontal="center" vertical="center" wrapText="1"/>
    </xf>
    <xf numFmtId="164" fontId="15" fillId="12" borderId="102" xfId="0" applyNumberFormat="1" applyFont="1" applyFill="1" applyBorder="1" applyAlignment="1">
      <alignment horizontal="right" vertical="center" wrapText="1"/>
    </xf>
    <xf numFmtId="164" fontId="15" fillId="28" borderId="102" xfId="0" applyNumberFormat="1" applyFont="1" applyFill="1" applyBorder="1" applyAlignment="1">
      <alignment horizontal="right" vertical="center" wrapText="1"/>
    </xf>
    <xf numFmtId="165" fontId="24" fillId="0" borderId="105" xfId="1" applyNumberFormat="1" applyFont="1" applyFill="1" applyBorder="1" applyAlignment="1">
      <alignment horizontal="right" vertical="center" textRotation="90" wrapText="1"/>
    </xf>
    <xf numFmtId="165" fontId="41" fillId="0" borderId="105" xfId="1" applyNumberFormat="1" applyFont="1" applyFill="1" applyBorder="1" applyAlignment="1">
      <alignment horizontal="right" vertical="center" wrapText="1"/>
    </xf>
    <xf numFmtId="165" fontId="24" fillId="0" borderId="105" xfId="1" applyNumberFormat="1" applyFont="1" applyFill="1" applyBorder="1" applyAlignment="1">
      <alignment horizontal="right" vertical="center" wrapText="1"/>
    </xf>
    <xf numFmtId="165" fontId="13" fillId="0" borderId="105" xfId="1" applyNumberFormat="1" applyFont="1" applyFill="1" applyBorder="1" applyAlignment="1">
      <alignment horizontal="center" vertical="center" wrapText="1"/>
    </xf>
    <xf numFmtId="165" fontId="55" fillId="2" borderId="105" xfId="1" applyNumberFormat="1" applyFont="1" applyFill="1" applyBorder="1" applyAlignment="1">
      <alignment horizontal="right" vertical="center" wrapText="1"/>
    </xf>
    <xf numFmtId="164" fontId="50" fillId="2" borderId="105" xfId="0" applyNumberFormat="1" applyFont="1" applyFill="1" applyBorder="1" applyAlignment="1">
      <alignment vertical="center" wrapText="1"/>
    </xf>
    <xf numFmtId="164" fontId="57" fillId="2" borderId="105" xfId="0" applyNumberFormat="1" applyFont="1" applyFill="1" applyBorder="1" applyAlignment="1">
      <alignment vertical="center" wrapText="1"/>
    </xf>
    <xf numFmtId="0" fontId="5" fillId="5" borderId="1" xfId="0" applyFont="1" applyFill="1" applyBorder="1" applyAlignment="1">
      <alignment horizontal="center" vertical="center" textRotation="90" wrapText="1"/>
    </xf>
    <xf numFmtId="0" fontId="0" fillId="5" borderId="0" xfId="0" applyFill="1"/>
    <xf numFmtId="0" fontId="5" fillId="5" borderId="26" xfId="0" applyFont="1" applyFill="1" applyBorder="1" applyAlignment="1">
      <alignment horizontal="center" vertical="center" textRotation="90" wrapText="1"/>
    </xf>
    <xf numFmtId="0" fontId="3" fillId="20" borderId="0" xfId="0" applyFont="1" applyFill="1" applyAlignment="1">
      <alignment horizontal="center" vertical="center"/>
    </xf>
    <xf numFmtId="0" fontId="37" fillId="27" borderId="2" xfId="0" applyFont="1" applyFill="1" applyBorder="1" applyAlignment="1">
      <alignment horizontal="center" vertical="center"/>
    </xf>
    <xf numFmtId="0" fontId="2" fillId="27" borderId="4" xfId="0" applyFont="1" applyFill="1" applyBorder="1" applyAlignment="1">
      <alignment vertical="center"/>
    </xf>
    <xf numFmtId="0" fontId="36" fillId="27" borderId="4" xfId="0" applyFont="1" applyFill="1" applyBorder="1" applyAlignment="1">
      <alignment vertical="center"/>
    </xf>
    <xf numFmtId="0" fontId="2" fillId="27" borderId="7" xfId="0" applyFont="1" applyFill="1" applyBorder="1" applyAlignment="1">
      <alignment vertical="center"/>
    </xf>
    <xf numFmtId="0" fontId="2" fillId="27" borderId="23" xfId="0" applyFont="1" applyFill="1" applyBorder="1" applyAlignment="1">
      <alignment vertical="center"/>
    </xf>
    <xf numFmtId="0" fontId="33" fillId="15" borderId="11" xfId="0" applyFont="1" applyFill="1" applyBorder="1" applyAlignment="1">
      <alignment vertical="center" wrapText="1"/>
    </xf>
    <xf numFmtId="0" fontId="33" fillId="15" borderId="18" xfId="0" applyFont="1" applyFill="1" applyBorder="1" applyAlignment="1">
      <alignment vertical="center" wrapText="1"/>
    </xf>
    <xf numFmtId="0" fontId="32" fillId="15" borderId="17" xfId="0" applyFont="1" applyFill="1" applyBorder="1" applyAlignment="1">
      <alignment vertical="center" wrapText="1"/>
    </xf>
    <xf numFmtId="0" fontId="32" fillId="5" borderId="18" xfId="0" applyFont="1" applyFill="1" applyBorder="1" applyAlignment="1">
      <alignment horizontal="center" vertical="center" wrapText="1"/>
    </xf>
    <xf numFmtId="0" fontId="32" fillId="5" borderId="11" xfId="0" applyFont="1" applyFill="1" applyBorder="1" applyAlignment="1">
      <alignment horizontal="center" vertical="center" wrapText="1"/>
    </xf>
    <xf numFmtId="0" fontId="32" fillId="5" borderId="17" xfId="0" applyFont="1" applyFill="1" applyBorder="1" applyAlignment="1">
      <alignment horizontal="center" vertical="center" wrapText="1"/>
    </xf>
    <xf numFmtId="44" fontId="33" fillId="29" borderId="11" xfId="1" applyFont="1" applyFill="1" applyBorder="1" applyAlignment="1">
      <alignment horizontal="center" vertical="center" wrapText="1"/>
    </xf>
    <xf numFmtId="165" fontId="10" fillId="29" borderId="17" xfId="1" applyNumberFormat="1" applyFont="1" applyFill="1" applyBorder="1" applyAlignment="1">
      <alignment horizontal="center" vertical="center" wrapText="1"/>
    </xf>
    <xf numFmtId="165" fontId="5" fillId="29" borderId="17" xfId="1" applyNumberFormat="1" applyFont="1" applyFill="1" applyBorder="1" applyAlignment="1">
      <alignment horizontal="center" vertical="center" wrapText="1"/>
    </xf>
    <xf numFmtId="0" fontId="32" fillId="12" borderId="18" xfId="0" applyFont="1" applyFill="1" applyBorder="1" applyAlignment="1">
      <alignment vertical="center" wrapText="1"/>
    </xf>
    <xf numFmtId="0" fontId="32" fillId="12" borderId="11" xfId="0" applyFont="1" applyFill="1" applyBorder="1" applyAlignment="1">
      <alignment vertical="center" wrapText="1"/>
    </xf>
    <xf numFmtId="0" fontId="32" fillId="12" borderId="18" xfId="0" applyFont="1" applyFill="1" applyBorder="1" applyAlignment="1">
      <alignment horizontal="center" vertical="center" wrapText="1"/>
    </xf>
    <xf numFmtId="0" fontId="32" fillId="4" borderId="18" xfId="0" applyFont="1" applyFill="1" applyBorder="1" applyAlignment="1">
      <alignment horizontal="center" vertical="center"/>
    </xf>
    <xf numFmtId="0" fontId="32" fillId="4" borderId="11" xfId="0" applyFont="1" applyFill="1" applyBorder="1" applyAlignment="1">
      <alignment vertical="center" wrapText="1"/>
    </xf>
    <xf numFmtId="0" fontId="32" fillId="4" borderId="12" xfId="0" applyFont="1" applyFill="1" applyBorder="1" applyAlignment="1">
      <alignment horizontal="center" vertical="center" wrapText="1"/>
    </xf>
    <xf numFmtId="0" fontId="32" fillId="17" borderId="17" xfId="0" applyFont="1" applyFill="1" applyBorder="1" applyAlignment="1">
      <alignment horizontal="center" vertical="center" wrapText="1"/>
    </xf>
    <xf numFmtId="0" fontId="32" fillId="17" borderId="18" xfId="0" applyFont="1" applyFill="1" applyBorder="1" applyAlignment="1">
      <alignment horizontal="center" vertical="center" wrapText="1"/>
    </xf>
    <xf numFmtId="0" fontId="18" fillId="14" borderId="37" xfId="0" applyFont="1" applyFill="1" applyBorder="1" applyAlignment="1">
      <alignment horizontal="center" vertical="center" textRotation="90" wrapText="1"/>
    </xf>
    <xf numFmtId="164" fontId="31" fillId="2" borderId="17" xfId="0" applyNumberFormat="1" applyFont="1" applyFill="1" applyBorder="1" applyAlignment="1">
      <alignment vertical="center" wrapText="1"/>
    </xf>
    <xf numFmtId="0" fontId="2" fillId="0" borderId="0" xfId="0" applyFont="1" applyAlignment="1">
      <alignment horizontal="center" vertical="center"/>
    </xf>
    <xf numFmtId="164" fontId="7" fillId="3" borderId="6" xfId="1" applyNumberFormat="1" applyFont="1" applyFill="1" applyBorder="1" applyAlignment="1">
      <alignment horizontal="center" vertical="center" wrapText="1"/>
    </xf>
    <xf numFmtId="0" fontId="2" fillId="14" borderId="34" xfId="0" applyFont="1" applyFill="1" applyBorder="1" applyAlignment="1">
      <alignment horizontal="center" vertical="center" wrapText="1"/>
    </xf>
    <xf numFmtId="0" fontId="2" fillId="14" borderId="106" xfId="0" applyFont="1" applyFill="1" applyBorder="1" applyAlignment="1">
      <alignment horizontal="center" vertical="center" wrapText="1"/>
    </xf>
    <xf numFmtId="164" fontId="31" fillId="28" borderId="18" xfId="0" applyNumberFormat="1" applyFont="1" applyFill="1" applyBorder="1" applyAlignment="1">
      <alignment horizontal="right" vertical="center" wrapText="1"/>
    </xf>
    <xf numFmtId="164" fontId="31" fillId="28" borderId="18" xfId="0" applyNumberFormat="1" applyFont="1" applyFill="1" applyBorder="1" applyAlignment="1">
      <alignment horizontal="center" vertical="center" wrapText="1"/>
    </xf>
    <xf numFmtId="164" fontId="31" fillId="28" borderId="17" xfId="0" applyNumberFormat="1" applyFont="1" applyFill="1" applyBorder="1" applyAlignment="1">
      <alignment horizontal="right" vertical="center" wrapText="1"/>
    </xf>
    <xf numFmtId="165" fontId="25" fillId="28" borderId="17" xfId="0" applyNumberFormat="1" applyFont="1" applyFill="1" applyBorder="1" applyAlignment="1">
      <alignment horizontal="right" vertical="center" wrapText="1"/>
    </xf>
    <xf numFmtId="0" fontId="33" fillId="17" borderId="12" xfId="0" applyFont="1" applyFill="1" applyBorder="1" applyAlignment="1">
      <alignment horizontal="center" vertical="center" wrapText="1"/>
    </xf>
    <xf numFmtId="0" fontId="2" fillId="4" borderId="18" xfId="0" applyFont="1" applyFill="1" applyBorder="1" applyAlignment="1">
      <alignment horizontal="center" vertical="center" textRotation="90" wrapText="1"/>
    </xf>
    <xf numFmtId="0" fontId="2" fillId="4" borderId="11" xfId="0" applyFont="1" applyFill="1" applyBorder="1" applyAlignment="1">
      <alignment horizontal="center" vertical="center" textRotation="90" wrapText="1"/>
    </xf>
    <xf numFmtId="0" fontId="2" fillId="4" borderId="22" xfId="0" applyFont="1" applyFill="1" applyBorder="1" applyAlignment="1">
      <alignment horizontal="center" vertical="center" textRotation="90" wrapText="1"/>
    </xf>
    <xf numFmtId="164" fontId="31" fillId="28" borderId="17" xfId="0" applyNumberFormat="1" applyFont="1" applyFill="1" applyBorder="1" applyAlignment="1">
      <alignment vertical="center" wrapText="1"/>
    </xf>
    <xf numFmtId="0" fontId="2" fillId="15" borderId="52" xfId="0" applyFont="1" applyFill="1" applyBorder="1" applyAlignment="1">
      <alignment horizontal="center" vertical="center" textRotation="90" wrapText="1"/>
    </xf>
    <xf numFmtId="0" fontId="64" fillId="17" borderId="107" xfId="0" applyFont="1" applyFill="1" applyBorder="1" applyAlignment="1">
      <alignment horizontal="center" vertical="center" textRotation="90"/>
    </xf>
    <xf numFmtId="0" fontId="64" fillId="17" borderId="108" xfId="0" applyFont="1" applyFill="1" applyBorder="1" applyAlignment="1">
      <alignment horizontal="center" vertical="center" textRotation="90"/>
    </xf>
    <xf numFmtId="0" fontId="64" fillId="17" borderId="108" xfId="0" applyFont="1" applyFill="1" applyBorder="1" applyAlignment="1">
      <alignment horizontal="center" vertical="center"/>
    </xf>
    <xf numFmtId="0" fontId="2" fillId="17" borderId="108" xfId="0" applyFont="1" applyFill="1" applyBorder="1" applyAlignment="1">
      <alignment horizontal="center" vertical="center" textRotation="90" wrapText="1"/>
    </xf>
    <xf numFmtId="0" fontId="64" fillId="17" borderId="108" xfId="0" applyFont="1" applyFill="1" applyBorder="1" applyAlignment="1">
      <alignment horizontal="center" vertical="center" wrapText="1"/>
    </xf>
    <xf numFmtId="0" fontId="64" fillId="17" borderId="109" xfId="0" applyFont="1" applyFill="1" applyBorder="1" applyAlignment="1">
      <alignment horizontal="center" vertical="center" textRotation="90"/>
    </xf>
    <xf numFmtId="44" fontId="24" fillId="0" borderId="0" xfId="1" applyFont="1" applyFill="1" applyBorder="1" applyAlignment="1">
      <alignment horizontal="center" vertical="center" textRotation="90" wrapText="1"/>
    </xf>
    <xf numFmtId="0" fontId="2" fillId="15" borderId="45" xfId="0" applyFont="1" applyFill="1" applyBorder="1" applyAlignment="1">
      <alignment horizontal="center" vertical="center" wrapText="1"/>
    </xf>
    <xf numFmtId="0" fontId="2" fillId="15" borderId="50" xfId="0" applyFont="1" applyFill="1" applyBorder="1" applyAlignment="1">
      <alignment horizontal="center" vertical="center" textRotation="90"/>
    </xf>
    <xf numFmtId="165" fontId="24" fillId="0" borderId="105" xfId="1" applyNumberFormat="1" applyFont="1" applyFill="1" applyBorder="1" applyAlignment="1">
      <alignment horizontal="center" vertical="center" textRotation="90" wrapText="1"/>
    </xf>
    <xf numFmtId="0" fontId="2" fillId="5" borderId="58" xfId="0" applyFont="1" applyFill="1" applyBorder="1" applyAlignment="1">
      <alignment horizontal="center" vertical="center" wrapText="1"/>
    </xf>
    <xf numFmtId="0" fontId="2" fillId="5" borderId="66" xfId="0" applyFont="1" applyFill="1" applyBorder="1" applyAlignment="1">
      <alignment horizontal="center" textRotation="90"/>
    </xf>
    <xf numFmtId="0" fontId="2" fillId="0" borderId="0" xfId="0" applyFont="1" applyAlignment="1">
      <alignment horizontal="center" vertical="center" textRotation="90"/>
    </xf>
    <xf numFmtId="0" fontId="2" fillId="19" borderId="71" xfId="0" applyFont="1" applyFill="1" applyBorder="1" applyAlignment="1">
      <alignment horizontal="center" vertical="center" wrapText="1"/>
    </xf>
    <xf numFmtId="0" fontId="8" fillId="2" borderId="0" xfId="0" applyFont="1" applyFill="1" applyAlignment="1">
      <alignment horizontal="center" vertical="center" textRotation="90" wrapText="1"/>
    </xf>
    <xf numFmtId="0" fontId="2" fillId="12" borderId="90" xfId="0" applyFont="1" applyFill="1" applyBorder="1" applyAlignment="1">
      <alignment horizontal="center" vertical="center" wrapText="1"/>
    </xf>
    <xf numFmtId="0" fontId="15" fillId="0" borderId="5" xfId="0" applyFont="1" applyBorder="1" applyAlignment="1">
      <alignment horizontal="center" vertical="center"/>
    </xf>
    <xf numFmtId="0" fontId="15" fillId="2" borderId="0" xfId="0" applyFont="1" applyFill="1" applyAlignment="1">
      <alignment horizontal="center" vertical="center" textRotation="90"/>
    </xf>
    <xf numFmtId="0" fontId="2" fillId="18" borderId="21" xfId="0" applyFont="1" applyFill="1" applyBorder="1" applyAlignment="1">
      <alignment horizontal="center" vertical="center" wrapText="1"/>
    </xf>
    <xf numFmtId="44" fontId="15" fillId="0" borderId="0" xfId="1" applyFont="1" applyFill="1" applyBorder="1" applyAlignment="1">
      <alignment horizontal="center" vertical="center" wrapText="1"/>
    </xf>
    <xf numFmtId="0" fontId="2" fillId="29" borderId="21" xfId="0" applyFont="1" applyFill="1" applyBorder="1" applyAlignment="1">
      <alignment horizontal="center" vertical="center" wrapText="1"/>
    </xf>
    <xf numFmtId="0" fontId="23" fillId="0" borderId="0" xfId="0" applyFont="1" applyAlignment="1">
      <alignment horizontal="center" vertical="center" textRotation="90" wrapText="1"/>
    </xf>
    <xf numFmtId="165" fontId="56" fillId="28" borderId="11" xfId="1" applyNumberFormat="1" applyFont="1" applyFill="1" applyBorder="1" applyAlignment="1">
      <alignment horizontal="center" vertical="center" wrapText="1"/>
    </xf>
    <xf numFmtId="165" fontId="42" fillId="0" borderId="12" xfId="1" applyNumberFormat="1" applyFont="1" applyFill="1" applyBorder="1" applyAlignment="1">
      <alignment horizontal="center" vertical="center" wrapText="1"/>
    </xf>
    <xf numFmtId="0" fontId="31" fillId="3" borderId="11" xfId="0" applyFont="1" applyFill="1" applyBorder="1" applyAlignment="1">
      <alignment vertical="center" wrapText="1"/>
    </xf>
    <xf numFmtId="165" fontId="31" fillId="28" borderId="11" xfId="1" applyNumberFormat="1" applyFont="1" applyFill="1" applyBorder="1" applyAlignment="1">
      <alignment horizontal="center" vertical="center" wrapText="1"/>
    </xf>
    <xf numFmtId="0" fontId="68" fillId="0" borderId="17" xfId="0" applyFont="1" applyBorder="1" applyAlignment="1">
      <alignment horizontal="left" vertical="center" wrapText="1"/>
    </xf>
    <xf numFmtId="0" fontId="65" fillId="3" borderId="11" xfId="0" applyFont="1" applyFill="1" applyBorder="1" applyAlignment="1">
      <alignment vertical="center" wrapText="1"/>
    </xf>
    <xf numFmtId="0" fontId="26" fillId="0" borderId="0" xfId="0" applyFont="1" applyAlignment="1">
      <alignment vertical="center" wrapText="1"/>
    </xf>
    <xf numFmtId="164" fontId="72" fillId="14" borderId="114" xfId="1" applyNumberFormat="1" applyFont="1" applyFill="1" applyBorder="1" applyAlignment="1">
      <alignment vertical="center" wrapText="1"/>
    </xf>
    <xf numFmtId="164" fontId="31" fillId="2" borderId="115" xfId="1" applyNumberFormat="1" applyFont="1" applyFill="1" applyBorder="1" applyAlignment="1">
      <alignment vertical="center" wrapText="1"/>
    </xf>
    <xf numFmtId="164" fontId="72" fillId="17" borderId="115" xfId="1" applyNumberFormat="1" applyFont="1" applyFill="1" applyBorder="1" applyAlignment="1">
      <alignment vertical="center" wrapText="1"/>
    </xf>
    <xf numFmtId="164" fontId="72" fillId="17" borderId="115" xfId="0" applyNumberFormat="1" applyFont="1" applyFill="1" applyBorder="1" applyAlignment="1">
      <alignment vertical="center" wrapText="1"/>
    </xf>
    <xf numFmtId="164" fontId="72" fillId="17" borderId="116" xfId="0" applyNumberFormat="1" applyFont="1" applyFill="1" applyBorder="1" applyAlignment="1">
      <alignment vertical="center" wrapText="1"/>
    </xf>
    <xf numFmtId="164" fontId="31" fillId="2" borderId="116" xfId="0" applyNumberFormat="1" applyFont="1" applyFill="1" applyBorder="1" applyAlignment="1">
      <alignment vertical="center" wrapText="1"/>
    </xf>
    <xf numFmtId="164" fontId="72" fillId="14" borderId="115" xfId="1" applyNumberFormat="1" applyFont="1" applyFill="1" applyBorder="1" applyAlignment="1">
      <alignment vertical="center" wrapText="1"/>
    </xf>
    <xf numFmtId="164" fontId="72" fillId="2" borderId="115" xfId="1" applyNumberFormat="1" applyFont="1" applyFill="1" applyBorder="1" applyAlignment="1">
      <alignment vertical="center" wrapText="1"/>
    </xf>
    <xf numFmtId="164" fontId="72" fillId="14" borderId="117" xfId="0" applyNumberFormat="1" applyFont="1" applyFill="1" applyBorder="1" applyAlignment="1">
      <alignment horizontal="center" vertical="center" wrapText="1"/>
    </xf>
    <xf numFmtId="164" fontId="72" fillId="15" borderId="114" xfId="0" applyNumberFormat="1" applyFont="1" applyFill="1" applyBorder="1" applyAlignment="1">
      <alignment horizontal="center" vertical="center" wrapText="1"/>
    </xf>
    <xf numFmtId="164" fontId="31" fillId="2" borderId="115" xfId="0" applyNumberFormat="1" applyFont="1" applyFill="1" applyBorder="1" applyAlignment="1">
      <alignment vertical="center" wrapText="1"/>
    </xf>
    <xf numFmtId="164" fontId="72" fillId="15" borderId="115" xfId="0" applyNumberFormat="1" applyFont="1" applyFill="1" applyBorder="1" applyAlignment="1">
      <alignment vertical="center" wrapText="1"/>
    </xf>
    <xf numFmtId="164" fontId="72" fillId="2" borderId="116" xfId="0" applyNumberFormat="1" applyFont="1" applyFill="1" applyBorder="1" applyAlignment="1">
      <alignment vertical="center" wrapText="1"/>
    </xf>
    <xf numFmtId="164" fontId="31" fillId="2" borderId="114" xfId="0" applyNumberFormat="1" applyFont="1" applyFill="1" applyBorder="1" applyAlignment="1">
      <alignment horizontal="center" vertical="center" wrapText="1"/>
    </xf>
    <xf numFmtId="164" fontId="31" fillId="2" borderId="115" xfId="0" applyNumberFormat="1" applyFont="1" applyFill="1" applyBorder="1" applyAlignment="1">
      <alignment horizontal="center" vertical="center" wrapText="1"/>
    </xf>
    <xf numFmtId="164" fontId="72" fillId="2" borderId="115" xfId="0" applyNumberFormat="1" applyFont="1" applyFill="1" applyBorder="1" applyAlignment="1">
      <alignment horizontal="center" vertical="center" wrapText="1"/>
    </xf>
    <xf numFmtId="164" fontId="31" fillId="0" borderId="115" xfId="1" applyNumberFormat="1" applyFont="1" applyFill="1" applyBorder="1" applyAlignment="1">
      <alignment horizontal="center" vertical="center" wrapText="1"/>
    </xf>
    <xf numFmtId="164" fontId="72" fillId="0" borderId="115" xfId="1" applyNumberFormat="1" applyFont="1" applyFill="1" applyBorder="1" applyAlignment="1">
      <alignment horizontal="center" vertical="center" wrapText="1"/>
    </xf>
    <xf numFmtId="164" fontId="31" fillId="0" borderId="114" xfId="1" applyNumberFormat="1" applyFont="1" applyBorder="1" applyAlignment="1">
      <alignment horizontal="center" vertical="center" wrapText="1"/>
    </xf>
    <xf numFmtId="165" fontId="15" fillId="5" borderId="56" xfId="1" applyNumberFormat="1" applyFont="1" applyFill="1" applyBorder="1" applyAlignment="1">
      <alignment horizontal="right" vertical="center" wrapText="1"/>
    </xf>
    <xf numFmtId="165" fontId="5" fillId="21" borderId="15" xfId="1" applyNumberFormat="1" applyFont="1" applyFill="1" applyBorder="1" applyAlignment="1">
      <alignment horizontal="center" vertical="center" wrapText="1"/>
    </xf>
    <xf numFmtId="165" fontId="46" fillId="16" borderId="16" xfId="0" applyNumberFormat="1" applyFont="1" applyFill="1" applyBorder="1" applyAlignment="1">
      <alignment horizontal="right" vertical="center" wrapText="1"/>
    </xf>
    <xf numFmtId="165" fontId="46" fillId="20" borderId="16" xfId="0" applyNumberFormat="1" applyFont="1" applyFill="1" applyBorder="1" applyAlignment="1">
      <alignment horizontal="right" vertical="center" wrapText="1"/>
    </xf>
    <xf numFmtId="165" fontId="46" fillId="22" borderId="16" xfId="0" applyNumberFormat="1" applyFont="1" applyFill="1" applyBorder="1" applyAlignment="1">
      <alignment horizontal="right" vertical="center" wrapText="1"/>
    </xf>
    <xf numFmtId="0" fontId="25" fillId="29" borderId="16" xfId="0" applyFont="1" applyFill="1" applyBorder="1" applyAlignment="1">
      <alignment horizontal="center" vertical="center" wrapText="1"/>
    </xf>
    <xf numFmtId="165" fontId="30" fillId="28" borderId="16" xfId="0" applyNumberFormat="1" applyFont="1" applyFill="1" applyBorder="1" applyAlignment="1">
      <alignment horizontal="right" vertical="center" wrapText="1"/>
    </xf>
    <xf numFmtId="165" fontId="46" fillId="29" borderId="16" xfId="0" applyNumberFormat="1" applyFont="1" applyFill="1" applyBorder="1" applyAlignment="1">
      <alignment horizontal="right" vertical="center" wrapText="1"/>
    </xf>
    <xf numFmtId="165" fontId="46" fillId="4" borderId="18" xfId="1" applyNumberFormat="1" applyFont="1" applyFill="1" applyBorder="1" applyAlignment="1">
      <alignment vertical="center" wrapText="1"/>
    </xf>
    <xf numFmtId="14" fontId="31" fillId="2" borderId="64" xfId="0" applyNumberFormat="1" applyFont="1" applyFill="1" applyBorder="1" applyAlignment="1">
      <alignment horizontal="center" vertical="center" wrapText="1"/>
    </xf>
    <xf numFmtId="14" fontId="71" fillId="0" borderId="0" xfId="0" applyNumberFormat="1" applyFont="1" applyAlignment="1">
      <alignment horizontal="center" vertical="center"/>
    </xf>
    <xf numFmtId="14" fontId="7" fillId="3" borderId="6" xfId="1" applyNumberFormat="1" applyFont="1" applyFill="1" applyBorder="1" applyAlignment="1">
      <alignment horizontal="center" vertical="center" wrapText="1"/>
    </xf>
    <xf numFmtId="14" fontId="26" fillId="20" borderId="1" xfId="1" applyNumberFormat="1" applyFont="1" applyFill="1" applyBorder="1" applyAlignment="1">
      <alignment horizontal="center" vertical="center" wrapText="1"/>
    </xf>
    <xf numFmtId="14" fontId="72" fillId="14" borderId="114" xfId="1" applyNumberFormat="1" applyFont="1" applyFill="1" applyBorder="1" applyAlignment="1">
      <alignment vertical="center" wrapText="1"/>
    </xf>
    <xf numFmtId="14" fontId="31" fillId="2" borderId="115" xfId="1" applyNumberFormat="1" applyFont="1" applyFill="1" applyBorder="1" applyAlignment="1">
      <alignment vertical="center" wrapText="1"/>
    </xf>
    <xf numFmtId="14" fontId="72" fillId="17" borderId="115" xfId="1" applyNumberFormat="1" applyFont="1" applyFill="1" applyBorder="1" applyAlignment="1">
      <alignment vertical="center" wrapText="1"/>
    </xf>
    <xf numFmtId="14" fontId="31" fillId="2" borderId="115" xfId="1" applyNumberFormat="1" applyFont="1" applyFill="1" applyBorder="1" applyAlignment="1">
      <alignment horizontal="center" vertical="center" wrapText="1"/>
    </xf>
    <xf numFmtId="14" fontId="5" fillId="4" borderId="11" xfId="0" applyNumberFormat="1" applyFont="1" applyFill="1" applyBorder="1" applyAlignment="1">
      <alignment horizontal="right" vertical="center" wrapText="1"/>
    </xf>
    <xf numFmtId="14" fontId="72" fillId="17" borderId="115" xfId="0" applyNumberFormat="1" applyFont="1" applyFill="1" applyBorder="1" applyAlignment="1">
      <alignment vertical="center" wrapText="1"/>
    </xf>
    <xf numFmtId="14" fontId="72" fillId="17" borderId="116" xfId="0" applyNumberFormat="1" applyFont="1" applyFill="1" applyBorder="1" applyAlignment="1">
      <alignment vertical="center" wrapText="1"/>
    </xf>
    <xf numFmtId="14" fontId="31" fillId="2" borderId="116" xfId="0" applyNumberFormat="1" applyFont="1" applyFill="1" applyBorder="1" applyAlignment="1">
      <alignment vertical="center" wrapText="1"/>
    </xf>
    <xf numFmtId="14" fontId="31" fillId="2" borderId="115" xfId="0" applyNumberFormat="1" applyFont="1" applyFill="1" applyBorder="1" applyAlignment="1">
      <alignment vertical="center" wrapText="1"/>
    </xf>
    <xf numFmtId="14" fontId="72" fillId="14" borderId="115" xfId="1" applyNumberFormat="1" applyFont="1" applyFill="1" applyBorder="1" applyAlignment="1">
      <alignment vertical="center" wrapText="1"/>
    </xf>
    <xf numFmtId="14" fontId="5" fillId="4" borderId="17" xfId="1" applyNumberFormat="1" applyFont="1" applyFill="1" applyBorder="1" applyAlignment="1">
      <alignment horizontal="right" vertical="center" wrapText="1"/>
    </xf>
    <xf numFmtId="14" fontId="31" fillId="0" borderId="115" xfId="1" applyNumberFormat="1" applyFont="1" applyBorder="1" applyAlignment="1">
      <alignment vertical="center" wrapText="1"/>
    </xf>
    <xf numFmtId="14" fontId="72" fillId="2" borderId="115" xfId="1" applyNumberFormat="1" applyFont="1" applyFill="1" applyBorder="1" applyAlignment="1">
      <alignment vertical="center" wrapText="1"/>
    </xf>
    <xf numFmtId="14" fontId="46" fillId="4" borderId="18" xfId="1" applyNumberFormat="1" applyFont="1" applyFill="1" applyBorder="1" applyAlignment="1">
      <alignment vertical="center" wrapText="1"/>
    </xf>
    <xf numFmtId="14" fontId="72" fillId="14" borderId="117" xfId="0" applyNumberFormat="1" applyFont="1" applyFill="1" applyBorder="1" applyAlignment="1">
      <alignment horizontal="center" vertical="center" wrapText="1"/>
    </xf>
    <xf numFmtId="14" fontId="64" fillId="0" borderId="115" xfId="0" applyNumberFormat="1" applyFont="1" applyBorder="1" applyAlignment="1">
      <alignment vertical="center"/>
    </xf>
    <xf numFmtId="14" fontId="15" fillId="17" borderId="43" xfId="1" applyNumberFormat="1" applyFont="1" applyFill="1" applyBorder="1" applyAlignment="1">
      <alignment horizontal="right" vertical="center" wrapText="1"/>
    </xf>
    <xf numFmtId="14" fontId="57" fillId="0" borderId="0" xfId="1" applyNumberFormat="1" applyFont="1" applyFill="1" applyBorder="1" applyAlignment="1">
      <alignment vertical="center" wrapText="1"/>
    </xf>
    <xf numFmtId="14" fontId="72" fillId="15" borderId="114" xfId="0" applyNumberFormat="1" applyFont="1" applyFill="1" applyBorder="1" applyAlignment="1">
      <alignment horizontal="center" vertical="center" wrapText="1"/>
    </xf>
    <xf numFmtId="14" fontId="72" fillId="15" borderId="115" xfId="0" applyNumberFormat="1" applyFont="1" applyFill="1" applyBorder="1" applyAlignment="1">
      <alignment vertical="center" wrapText="1"/>
    </xf>
    <xf numFmtId="14" fontId="72" fillId="2" borderId="116" xfId="0" applyNumberFormat="1" applyFont="1" applyFill="1" applyBorder="1" applyAlignment="1">
      <alignment vertical="center" wrapText="1"/>
    </xf>
    <xf numFmtId="14" fontId="15" fillId="15" borderId="56" xfId="1" applyNumberFormat="1" applyFont="1" applyFill="1" applyBorder="1" applyAlignment="1">
      <alignment horizontal="right" vertical="center" wrapText="1"/>
    </xf>
    <xf numFmtId="14" fontId="57" fillId="2" borderId="105" xfId="0" applyNumberFormat="1" applyFont="1" applyFill="1" applyBorder="1" applyAlignment="1">
      <alignment vertical="center" wrapText="1"/>
    </xf>
    <xf numFmtId="14" fontId="31" fillId="2" borderId="114" xfId="0" applyNumberFormat="1" applyFont="1" applyFill="1" applyBorder="1" applyAlignment="1">
      <alignment horizontal="center" vertical="center" wrapText="1"/>
    </xf>
    <xf numFmtId="14" fontId="31" fillId="2" borderId="115" xfId="0" applyNumberFormat="1" applyFont="1" applyFill="1" applyBorder="1" applyAlignment="1">
      <alignment horizontal="center" vertical="center" wrapText="1"/>
    </xf>
    <xf numFmtId="14" fontId="72" fillId="2" borderId="115" xfId="0" applyNumberFormat="1" applyFont="1" applyFill="1" applyBorder="1" applyAlignment="1">
      <alignment horizontal="center" vertical="center" wrapText="1"/>
    </xf>
    <xf numFmtId="14" fontId="15" fillId="5" borderId="69" xfId="1" applyNumberFormat="1" applyFont="1" applyFill="1" applyBorder="1" applyAlignment="1">
      <alignment horizontal="right" vertical="center" wrapText="1"/>
    </xf>
    <xf numFmtId="14" fontId="46" fillId="27" borderId="16" xfId="1" applyNumberFormat="1" applyFont="1" applyFill="1" applyBorder="1" applyAlignment="1">
      <alignment horizontal="right" vertical="center" wrapText="1"/>
    </xf>
    <xf numFmtId="14" fontId="73" fillId="2" borderId="0" xfId="0" applyNumberFormat="1" applyFont="1" applyFill="1" applyAlignment="1">
      <alignment horizontal="center" vertical="center" textRotation="90"/>
    </xf>
    <xf numFmtId="14" fontId="9" fillId="0" borderId="1" xfId="1" applyNumberFormat="1" applyFont="1" applyFill="1" applyBorder="1" applyAlignment="1">
      <alignment horizontal="center" vertical="center" wrapText="1"/>
    </xf>
    <xf numFmtId="14" fontId="31" fillId="0" borderId="115" xfId="1" applyNumberFormat="1" applyFont="1" applyFill="1" applyBorder="1" applyAlignment="1">
      <alignment horizontal="center" vertical="center" wrapText="1"/>
    </xf>
    <xf numFmtId="14" fontId="5" fillId="29" borderId="17" xfId="1" applyNumberFormat="1" applyFont="1" applyFill="1" applyBorder="1" applyAlignment="1">
      <alignment horizontal="center" vertical="center" wrapText="1"/>
    </xf>
    <xf numFmtId="14" fontId="72" fillId="0" borderId="115" xfId="1" applyNumberFormat="1" applyFont="1" applyFill="1" applyBorder="1" applyAlignment="1">
      <alignment horizontal="center" vertical="center" wrapText="1"/>
    </xf>
    <xf numFmtId="14" fontId="5" fillId="21" borderId="15" xfId="1" applyNumberFormat="1" applyFont="1" applyFill="1" applyBorder="1" applyAlignment="1">
      <alignment horizontal="center" vertical="center" wrapText="1"/>
    </xf>
    <xf numFmtId="14" fontId="15" fillId="19" borderId="88" xfId="0" applyNumberFormat="1" applyFont="1" applyFill="1" applyBorder="1" applyAlignment="1">
      <alignment horizontal="right" vertical="center" wrapText="1"/>
    </xf>
    <xf numFmtId="14" fontId="57" fillId="2" borderId="0" xfId="0" applyNumberFormat="1" applyFont="1" applyFill="1" applyAlignment="1">
      <alignment horizontal="center" vertical="center" wrapText="1"/>
    </xf>
    <xf numFmtId="14" fontId="31" fillId="0" borderId="114" xfId="1" applyNumberFormat="1" applyFont="1" applyBorder="1" applyAlignment="1">
      <alignment horizontal="center" vertical="center" wrapText="1"/>
    </xf>
    <xf numFmtId="14" fontId="15" fillId="12" borderId="102" xfId="0" applyNumberFormat="1" applyFont="1" applyFill="1" applyBorder="1" applyAlignment="1">
      <alignment horizontal="right" vertical="center" wrapText="1"/>
    </xf>
    <xf numFmtId="14" fontId="26" fillId="0" borderId="24" xfId="0" applyNumberFormat="1" applyFont="1" applyBorder="1" applyAlignment="1">
      <alignment horizontal="right" vertical="center" wrapText="1"/>
    </xf>
    <xf numFmtId="14" fontId="46" fillId="16" borderId="16" xfId="0" applyNumberFormat="1" applyFont="1" applyFill="1" applyBorder="1" applyAlignment="1">
      <alignment horizontal="right" vertical="center" wrapText="1"/>
    </xf>
    <xf numFmtId="14" fontId="74" fillId="2" borderId="0" xfId="0" applyNumberFormat="1" applyFont="1" applyFill="1" applyAlignment="1">
      <alignment horizontal="center" vertical="center" wrapText="1"/>
    </xf>
    <xf numFmtId="14" fontId="31" fillId="0" borderId="18" xfId="1" applyNumberFormat="1" applyFont="1" applyBorder="1" applyAlignment="1">
      <alignment horizontal="center" vertical="center" wrapText="1"/>
    </xf>
    <xf numFmtId="14" fontId="30" fillId="0" borderId="12" xfId="1" applyNumberFormat="1" applyFont="1" applyBorder="1" applyAlignment="1">
      <alignment horizontal="center" vertical="center" wrapText="1"/>
    </xf>
    <xf numFmtId="14" fontId="31" fillId="0" borderId="12" xfId="1" applyNumberFormat="1" applyFont="1" applyBorder="1" applyAlignment="1">
      <alignment horizontal="center" vertical="center" wrapText="1"/>
    </xf>
    <xf numFmtId="14" fontId="75" fillId="0" borderId="8" xfId="0" applyNumberFormat="1" applyFont="1" applyBorder="1" applyAlignment="1">
      <alignment horizontal="right" vertical="center" wrapText="1"/>
    </xf>
    <xf numFmtId="14" fontId="46" fillId="20" borderId="16" xfId="0" applyNumberFormat="1" applyFont="1" applyFill="1" applyBorder="1" applyAlignment="1">
      <alignment horizontal="right" vertical="center" wrapText="1"/>
    </xf>
    <xf numFmtId="14" fontId="69" fillId="0" borderId="0" xfId="0" applyNumberFormat="1" applyFont="1" applyAlignment="1">
      <alignment horizontal="center" vertical="center" wrapText="1"/>
    </xf>
    <xf numFmtId="14" fontId="31" fillId="3" borderId="11" xfId="0" applyNumberFormat="1" applyFont="1" applyFill="1" applyBorder="1" applyAlignment="1">
      <alignment horizontal="center" vertical="center" wrapText="1"/>
    </xf>
    <xf numFmtId="14" fontId="31" fillId="0" borderId="11" xfId="0" applyNumberFormat="1" applyFont="1" applyBorder="1" applyAlignment="1">
      <alignment horizontal="center" vertical="center" wrapText="1"/>
    </xf>
    <xf numFmtId="14" fontId="46" fillId="29" borderId="16" xfId="0" applyNumberFormat="1" applyFont="1" applyFill="1" applyBorder="1" applyAlignment="1">
      <alignment horizontal="right" vertical="center" wrapText="1"/>
    </xf>
    <xf numFmtId="14" fontId="76" fillId="2" borderId="0" xfId="0" applyNumberFormat="1" applyFont="1" applyFill="1" applyAlignment="1">
      <alignment horizontal="center" vertical="center" wrapText="1"/>
    </xf>
    <xf numFmtId="14" fontId="46" fillId="22" borderId="16" xfId="0" applyNumberFormat="1" applyFont="1" applyFill="1" applyBorder="1" applyAlignment="1">
      <alignment horizontal="right" vertical="center" wrapText="1"/>
    </xf>
    <xf numFmtId="164" fontId="72" fillId="28" borderId="11" xfId="0" applyNumberFormat="1" applyFont="1" applyFill="1" applyBorder="1" applyAlignment="1">
      <alignment horizontal="center" vertical="center" wrapText="1"/>
    </xf>
    <xf numFmtId="164" fontId="72" fillId="28" borderId="11" xfId="0" applyNumberFormat="1" applyFont="1" applyFill="1" applyBorder="1" applyAlignment="1">
      <alignment horizontal="left" vertical="center" wrapText="1"/>
    </xf>
    <xf numFmtId="165" fontId="68" fillId="28" borderId="6" xfId="1" applyNumberFormat="1" applyFont="1" applyFill="1" applyBorder="1" applyAlignment="1">
      <alignment horizontal="center" vertical="center" wrapText="1"/>
    </xf>
    <xf numFmtId="14" fontId="31" fillId="2" borderId="53" xfId="0" applyNumberFormat="1" applyFont="1" applyFill="1" applyBorder="1" applyAlignment="1">
      <alignment vertical="center" wrapText="1"/>
    </xf>
    <xf numFmtId="14" fontId="72" fillId="14" borderId="36" xfId="1" applyNumberFormat="1" applyFont="1" applyFill="1" applyBorder="1" applyAlignment="1">
      <alignment vertical="center" wrapText="1"/>
    </xf>
    <xf numFmtId="14" fontId="31" fillId="2" borderId="38" xfId="1" applyNumberFormat="1" applyFont="1" applyFill="1" applyBorder="1" applyAlignment="1">
      <alignment vertical="center" wrapText="1"/>
    </xf>
    <xf numFmtId="14" fontId="72" fillId="17" borderId="38" xfId="1" applyNumberFormat="1" applyFont="1" applyFill="1" applyBorder="1" applyAlignment="1">
      <alignment vertical="center" wrapText="1"/>
    </xf>
    <xf numFmtId="14" fontId="31" fillId="2" borderId="38" xfId="1" applyNumberFormat="1" applyFont="1" applyFill="1" applyBorder="1" applyAlignment="1">
      <alignment horizontal="center" vertical="center" wrapText="1"/>
    </xf>
    <xf numFmtId="14" fontId="4" fillId="4" borderId="38" xfId="1" applyNumberFormat="1" applyFont="1" applyFill="1" applyBorder="1" applyAlignment="1">
      <alignment horizontal="right" vertical="center" wrapText="1"/>
    </xf>
    <xf numFmtId="14" fontId="72" fillId="17" borderId="38" xfId="0" applyNumberFormat="1" applyFont="1" applyFill="1" applyBorder="1" applyAlignment="1">
      <alignment vertical="center" wrapText="1"/>
    </xf>
    <xf numFmtId="14" fontId="72" fillId="17" borderId="39" xfId="0" applyNumberFormat="1" applyFont="1" applyFill="1" applyBorder="1" applyAlignment="1">
      <alignment vertical="center" wrapText="1"/>
    </xf>
    <xf numFmtId="14" fontId="31" fillId="2" borderId="39" xfId="0" applyNumberFormat="1" applyFont="1" applyFill="1" applyBorder="1" applyAlignment="1">
      <alignment vertical="center" wrapText="1"/>
    </xf>
    <xf numFmtId="14" fontId="44" fillId="4" borderId="38" xfId="0" applyNumberFormat="1" applyFont="1" applyFill="1" applyBorder="1" applyAlignment="1">
      <alignment horizontal="right" vertical="center" wrapText="1"/>
    </xf>
    <xf numFmtId="14" fontId="72" fillId="14" borderId="38" xfId="1" applyNumberFormat="1" applyFont="1" applyFill="1" applyBorder="1" applyAlignment="1">
      <alignment vertical="center" wrapText="1"/>
    </xf>
    <xf numFmtId="14" fontId="44" fillId="4" borderId="39" xfId="1" applyNumberFormat="1" applyFont="1" applyFill="1" applyBorder="1" applyAlignment="1">
      <alignment horizontal="right" vertical="center" wrapText="1"/>
    </xf>
    <xf numFmtId="14" fontId="31" fillId="0" borderId="38" xfId="1" applyNumberFormat="1" applyFont="1" applyBorder="1" applyAlignment="1">
      <alignment vertical="center" wrapText="1"/>
    </xf>
    <xf numFmtId="14" fontId="2" fillId="0" borderId="38" xfId="0" applyNumberFormat="1" applyFont="1" applyBorder="1" applyAlignment="1">
      <alignment vertical="center"/>
    </xf>
    <xf numFmtId="14" fontId="44" fillId="4" borderId="38" xfId="1" applyNumberFormat="1" applyFont="1" applyFill="1" applyBorder="1" applyAlignment="1">
      <alignment horizontal="right" vertical="center" wrapText="1"/>
    </xf>
    <xf numFmtId="14" fontId="31" fillId="4" borderId="38" xfId="0" applyNumberFormat="1" applyFont="1" applyFill="1" applyBorder="1" applyAlignment="1">
      <alignment horizontal="center" vertical="center" wrapText="1"/>
    </xf>
    <xf numFmtId="14" fontId="72" fillId="14" borderId="40" xfId="0" applyNumberFormat="1" applyFont="1" applyFill="1" applyBorder="1" applyAlignment="1">
      <alignment horizontal="center" vertical="center" wrapText="1"/>
    </xf>
    <xf numFmtId="14" fontId="64" fillId="0" borderId="38" xfId="0" applyNumberFormat="1" applyFont="1" applyBorder="1" applyAlignment="1">
      <alignment vertical="center"/>
    </xf>
    <xf numFmtId="14" fontId="15" fillId="14" borderId="44" xfId="1" applyNumberFormat="1" applyFont="1" applyFill="1" applyBorder="1" applyAlignment="1">
      <alignment horizontal="right" vertical="center" wrapText="1"/>
    </xf>
    <xf numFmtId="14" fontId="57" fillId="0" borderId="104" xfId="1" applyNumberFormat="1" applyFont="1" applyFill="1" applyBorder="1" applyAlignment="1">
      <alignment vertical="center" wrapText="1"/>
    </xf>
    <xf numFmtId="14" fontId="72" fillId="15" borderId="51" xfId="0" applyNumberFormat="1" applyFont="1" applyFill="1" applyBorder="1" applyAlignment="1">
      <alignment horizontal="center" vertical="center" wrapText="1"/>
    </xf>
    <xf numFmtId="14" fontId="44" fillId="4" borderId="53" xfId="0" applyNumberFormat="1" applyFont="1" applyFill="1" applyBorder="1" applyAlignment="1">
      <alignment horizontal="right" vertical="center" wrapText="1"/>
    </xf>
    <xf numFmtId="14" fontId="72" fillId="15" borderId="53" xfId="0" applyNumberFormat="1" applyFont="1" applyFill="1" applyBorder="1" applyAlignment="1">
      <alignment vertical="center" wrapText="1"/>
    </xf>
    <xf numFmtId="14" fontId="72" fillId="2" borderId="54" xfId="0" applyNumberFormat="1" applyFont="1" applyFill="1" applyBorder="1" applyAlignment="1">
      <alignment vertical="center" wrapText="1"/>
    </xf>
    <xf numFmtId="14" fontId="15" fillId="15" borderId="57" xfId="1" applyNumberFormat="1" applyFont="1" applyFill="1" applyBorder="1" applyAlignment="1">
      <alignment horizontal="right" vertical="center" wrapText="1"/>
    </xf>
    <xf numFmtId="14" fontId="31" fillId="2" borderId="62" xfId="0" applyNumberFormat="1" applyFont="1" applyFill="1" applyBorder="1" applyAlignment="1">
      <alignment horizontal="center" vertical="center" wrapText="1"/>
    </xf>
    <xf numFmtId="14" fontId="72" fillId="2" borderId="64" xfId="0" applyNumberFormat="1" applyFont="1" applyFill="1" applyBorder="1" applyAlignment="1">
      <alignment horizontal="center" vertical="center" wrapText="1"/>
    </xf>
    <xf numFmtId="14" fontId="15" fillId="5" borderId="70" xfId="1" applyNumberFormat="1" applyFont="1" applyFill="1" applyBorder="1" applyAlignment="1">
      <alignment horizontal="right" vertical="center" wrapText="1"/>
    </xf>
    <xf numFmtId="14" fontId="15" fillId="27" borderId="16" xfId="1" applyNumberFormat="1" applyFont="1" applyFill="1" applyBorder="1" applyAlignment="1">
      <alignment horizontal="right" vertical="center" wrapText="1"/>
    </xf>
    <xf numFmtId="14" fontId="31" fillId="0" borderId="78" xfId="1" applyNumberFormat="1" applyFont="1" applyFill="1" applyBorder="1" applyAlignment="1">
      <alignment horizontal="center" vertical="center" wrapText="1"/>
    </xf>
    <xf numFmtId="14" fontId="44" fillId="29" borderId="80" xfId="1" applyNumberFormat="1" applyFont="1" applyFill="1" applyBorder="1" applyAlignment="1">
      <alignment horizontal="right" vertical="center" wrapText="1"/>
    </xf>
    <xf numFmtId="14" fontId="72" fillId="0" borderId="78" xfId="1" applyNumberFormat="1" applyFont="1" applyFill="1" applyBorder="1" applyAlignment="1">
      <alignment horizontal="center" vertical="center" wrapText="1"/>
    </xf>
    <xf numFmtId="14" fontId="7" fillId="21" borderId="84" xfId="1" applyNumberFormat="1" applyFont="1" applyFill="1" applyBorder="1" applyAlignment="1">
      <alignment horizontal="right" vertical="center" wrapText="1"/>
    </xf>
    <xf numFmtId="14" fontId="15" fillId="19" borderId="89" xfId="0" applyNumberFormat="1" applyFont="1" applyFill="1" applyBorder="1" applyAlignment="1">
      <alignment horizontal="right" vertical="center" wrapText="1"/>
    </xf>
    <xf numFmtId="14" fontId="31" fillId="0" borderId="96" xfId="1" applyNumberFormat="1" applyFont="1" applyBorder="1" applyAlignment="1">
      <alignment horizontal="center" vertical="center" wrapText="1"/>
    </xf>
    <xf numFmtId="14" fontId="15" fillId="12" borderId="103" xfId="0" applyNumberFormat="1" applyFont="1" applyFill="1" applyBorder="1" applyAlignment="1">
      <alignment horizontal="right" vertical="center" wrapText="1"/>
    </xf>
    <xf numFmtId="14" fontId="15" fillId="16" borderId="16" xfId="0" applyNumberFormat="1" applyFont="1" applyFill="1" applyBorder="1" applyAlignment="1">
      <alignment horizontal="right" vertical="center" wrapText="1"/>
    </xf>
    <xf numFmtId="14" fontId="15" fillId="20" borderId="16" xfId="0" applyNumberFormat="1" applyFont="1" applyFill="1" applyBorder="1" applyAlignment="1">
      <alignment horizontal="right" vertical="center" wrapText="1"/>
    </xf>
    <xf numFmtId="14" fontId="30" fillId="29" borderId="119" xfId="0" applyNumberFormat="1" applyFont="1" applyFill="1" applyBorder="1" applyAlignment="1">
      <alignment horizontal="right" vertical="center" wrapText="1"/>
    </xf>
    <xf numFmtId="0" fontId="31" fillId="2" borderId="11" xfId="0" applyFont="1" applyFill="1" applyBorder="1" applyAlignment="1">
      <alignment vertical="center" wrapText="1"/>
    </xf>
    <xf numFmtId="0" fontId="31" fillId="2" borderId="17" xfId="0" applyFont="1" applyFill="1" applyBorder="1" applyAlignment="1">
      <alignment horizontal="center" vertical="center" wrapText="1"/>
    </xf>
    <xf numFmtId="0" fontId="30" fillId="3" borderId="18" xfId="0" applyFont="1" applyFill="1" applyBorder="1" applyAlignment="1">
      <alignment horizontal="center" vertical="center" wrapText="1"/>
    </xf>
    <xf numFmtId="0" fontId="66" fillId="2" borderId="11" xfId="0" applyFont="1" applyFill="1" applyBorder="1" applyAlignment="1">
      <alignment horizontal="center" wrapText="1"/>
    </xf>
    <xf numFmtId="0" fontId="7" fillId="2" borderId="17" xfId="0" applyFont="1" applyFill="1" applyBorder="1" applyAlignment="1">
      <alignment horizontal="left" vertical="center" wrapText="1"/>
    </xf>
    <xf numFmtId="14" fontId="31" fillId="0" borderId="11" xfId="1" applyNumberFormat="1" applyFont="1" applyBorder="1" applyAlignment="1">
      <alignment vertical="center" wrapText="1"/>
    </xf>
    <xf numFmtId="165" fontId="88" fillId="17" borderId="43" xfId="1" applyNumberFormat="1" applyFont="1" applyFill="1" applyBorder="1" applyAlignment="1">
      <alignment horizontal="right" vertical="center" wrapText="1"/>
    </xf>
    <xf numFmtId="165" fontId="89" fillId="27" borderId="16" xfId="1" applyNumberFormat="1" applyFont="1" applyFill="1" applyBorder="1" applyAlignment="1">
      <alignment horizontal="right" vertical="center" wrapText="1"/>
    </xf>
    <xf numFmtId="165" fontId="88" fillId="29" borderId="17" xfId="1" applyNumberFormat="1" applyFont="1" applyFill="1" applyBorder="1" applyAlignment="1">
      <alignment horizontal="center" vertical="center" wrapText="1"/>
    </xf>
    <xf numFmtId="165" fontId="20" fillId="19" borderId="88" xfId="0" applyNumberFormat="1" applyFont="1" applyFill="1" applyBorder="1" applyAlignment="1">
      <alignment horizontal="right" vertical="center" wrapText="1"/>
    </xf>
    <xf numFmtId="165" fontId="89" fillId="16" borderId="16" xfId="0" applyNumberFormat="1" applyFont="1" applyFill="1" applyBorder="1" applyAlignment="1">
      <alignment horizontal="right" vertical="center" wrapText="1"/>
    </xf>
    <xf numFmtId="165" fontId="89" fillId="20" borderId="16" xfId="0" applyNumberFormat="1" applyFont="1" applyFill="1" applyBorder="1" applyAlignment="1">
      <alignment horizontal="right" vertical="center" wrapText="1"/>
    </xf>
    <xf numFmtId="164" fontId="90" fillId="0" borderId="120" xfId="0" applyNumberFormat="1" applyFont="1" applyBorder="1" applyAlignment="1">
      <alignment vertical="center"/>
    </xf>
    <xf numFmtId="0" fontId="7" fillId="0" borderId="0" xfId="0" applyFont="1" applyAlignment="1">
      <alignment vertical="center"/>
    </xf>
    <xf numFmtId="0" fontId="7" fillId="0" borderId="0" xfId="0" applyFont="1" applyAlignment="1">
      <alignment horizontal="center" vertical="center"/>
    </xf>
    <xf numFmtId="164" fontId="7" fillId="0" borderId="0" xfId="0" applyNumberFormat="1" applyFont="1" applyAlignment="1">
      <alignment vertical="center"/>
    </xf>
    <xf numFmtId="164" fontId="69" fillId="0" borderId="120" xfId="0" applyNumberFormat="1" applyFont="1" applyBorder="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7" fillId="0" borderId="0" xfId="0" applyFont="1" applyAlignment="1">
      <alignment horizontal="left" vertical="center"/>
    </xf>
    <xf numFmtId="165" fontId="7" fillId="2" borderId="0" xfId="0" applyNumberFormat="1" applyFont="1" applyFill="1" applyAlignment="1">
      <alignment vertical="center"/>
    </xf>
    <xf numFmtId="165" fontId="90" fillId="4" borderId="120" xfId="0" applyNumberFormat="1" applyFont="1" applyFill="1" applyBorder="1" applyAlignment="1">
      <alignment vertical="center"/>
    </xf>
    <xf numFmtId="165" fontId="91" fillId="4" borderId="120" xfId="0" applyNumberFormat="1" applyFont="1" applyFill="1" applyBorder="1" applyAlignment="1">
      <alignment vertical="center"/>
    </xf>
    <xf numFmtId="164" fontId="69" fillId="0" borderId="11" xfId="0" applyNumberFormat="1" applyFont="1" applyBorder="1" applyAlignment="1">
      <alignment vertical="center"/>
    </xf>
    <xf numFmtId="0" fontId="7" fillId="0" borderId="17" xfId="0" applyFont="1" applyBorder="1" applyAlignment="1">
      <alignment vertical="center"/>
    </xf>
    <xf numFmtId="165" fontId="69" fillId="4" borderId="120" xfId="0" applyNumberFormat="1" applyFont="1" applyFill="1" applyBorder="1" applyAlignment="1">
      <alignment vertical="center"/>
    </xf>
    <xf numFmtId="165" fontId="69" fillId="30" borderId="120" xfId="0" applyNumberFormat="1" applyFont="1" applyFill="1" applyBorder="1" applyAlignment="1">
      <alignment vertical="center"/>
    </xf>
    <xf numFmtId="164" fontId="31" fillId="0" borderId="11" xfId="1" applyNumberFormat="1" applyFont="1" applyBorder="1" applyAlignment="1">
      <alignment horizontal="center" vertical="center" wrapText="1"/>
    </xf>
    <xf numFmtId="14" fontId="31" fillId="0" borderId="11" xfId="1" applyNumberFormat="1" applyFont="1" applyBorder="1" applyAlignment="1">
      <alignment horizontal="center" vertical="center" wrapText="1"/>
    </xf>
    <xf numFmtId="165" fontId="69" fillId="29" borderId="120" xfId="0" applyNumberFormat="1" applyFont="1" applyFill="1" applyBorder="1" applyAlignment="1">
      <alignment vertical="center"/>
    </xf>
    <xf numFmtId="164" fontId="69" fillId="0" borderId="120" xfId="0" applyNumberFormat="1" applyFont="1" applyBorder="1" applyAlignment="1">
      <alignment horizontal="left" vertical="center"/>
    </xf>
    <xf numFmtId="164" fontId="69" fillId="0" borderId="11" xfId="0" applyNumberFormat="1" applyFont="1" applyBorder="1" applyAlignment="1">
      <alignment horizontal="center" vertical="center"/>
    </xf>
    <xf numFmtId="165" fontId="7" fillId="16" borderId="120" xfId="0" applyNumberFormat="1" applyFont="1" applyFill="1" applyBorder="1" applyAlignment="1">
      <alignment vertical="center"/>
    </xf>
    <xf numFmtId="0" fontId="2" fillId="18" borderId="4" xfId="0" applyFont="1" applyFill="1" applyBorder="1" applyAlignment="1">
      <alignment vertical="center"/>
    </xf>
    <xf numFmtId="165" fontId="46" fillId="18" borderId="24" xfId="0" applyNumberFormat="1" applyFont="1" applyFill="1" applyBorder="1" applyAlignment="1">
      <alignment horizontal="right" vertical="center" wrapText="1"/>
    </xf>
    <xf numFmtId="14" fontId="46" fillId="18" borderId="24" xfId="0" applyNumberFormat="1" applyFont="1" applyFill="1" applyBorder="1" applyAlignment="1">
      <alignment horizontal="right" vertical="center" wrapText="1"/>
    </xf>
    <xf numFmtId="14" fontId="75" fillId="18" borderId="24" xfId="0" applyNumberFormat="1" applyFont="1" applyFill="1" applyBorder="1" applyAlignment="1">
      <alignment horizontal="right" vertical="center" wrapText="1"/>
    </xf>
    <xf numFmtId="164" fontId="4" fillId="0" borderId="12" xfId="1" applyNumberFormat="1" applyFont="1" applyBorder="1" applyAlignment="1">
      <alignment horizontal="right" vertical="center" wrapText="1"/>
    </xf>
    <xf numFmtId="164" fontId="31" fillId="28" borderId="116" xfId="0" applyNumberFormat="1" applyFont="1" applyFill="1" applyBorder="1" applyAlignment="1">
      <alignment horizontal="left" vertical="center" wrapText="1"/>
    </xf>
    <xf numFmtId="164" fontId="31" fillId="2" borderId="30" xfId="0" applyNumberFormat="1" applyFont="1" applyFill="1" applyBorder="1" applyAlignment="1">
      <alignment vertical="center" wrapText="1"/>
    </xf>
    <xf numFmtId="164" fontId="47" fillId="0" borderId="17" xfId="0" applyNumberFormat="1" applyFont="1" applyBorder="1" applyAlignment="1">
      <alignment horizontal="center" vertical="center"/>
    </xf>
    <xf numFmtId="164" fontId="33" fillId="0" borderId="18" xfId="0" applyNumberFormat="1" applyFont="1" applyBorder="1" applyAlignment="1">
      <alignment horizontal="center" vertical="center" wrapText="1"/>
    </xf>
    <xf numFmtId="164" fontId="43" fillId="32" borderId="18" xfId="1" applyNumberFormat="1" applyFont="1" applyFill="1" applyBorder="1" applyAlignment="1">
      <alignment horizontal="center" vertical="center" wrapText="1"/>
    </xf>
    <xf numFmtId="164" fontId="48" fillId="32" borderId="11" xfId="1" applyNumberFormat="1" applyFont="1" applyFill="1" applyBorder="1" applyAlignment="1">
      <alignment horizontal="center" vertical="center" wrapText="1"/>
    </xf>
    <xf numFmtId="164" fontId="72" fillId="32" borderId="11" xfId="0" applyNumberFormat="1" applyFont="1" applyFill="1" applyBorder="1" applyAlignment="1">
      <alignment horizontal="center" vertical="center" wrapText="1"/>
    </xf>
    <xf numFmtId="164" fontId="43" fillId="2" borderId="18" xfId="1" applyNumberFormat="1" applyFont="1" applyFill="1" applyBorder="1" applyAlignment="1">
      <alignment horizontal="center" vertical="center" wrapText="1"/>
    </xf>
    <xf numFmtId="2" fontId="55" fillId="5" borderId="120" xfId="0" applyNumberFormat="1" applyFont="1" applyFill="1" applyBorder="1" applyAlignment="1">
      <alignment vertical="center"/>
    </xf>
    <xf numFmtId="165" fontId="7" fillId="29" borderId="120" xfId="0" applyNumberFormat="1" applyFont="1" applyFill="1" applyBorder="1" applyAlignment="1">
      <alignment vertical="center"/>
    </xf>
    <xf numFmtId="0" fontId="7" fillId="3" borderId="11" xfId="0" applyFont="1" applyFill="1" applyBorder="1" applyAlignment="1">
      <alignment horizontal="center" vertical="center" wrapText="1"/>
    </xf>
    <xf numFmtId="165" fontId="69" fillId="14" borderId="120" xfId="0" applyNumberFormat="1" applyFont="1" applyFill="1" applyBorder="1" applyAlignment="1">
      <alignment vertical="center"/>
    </xf>
    <xf numFmtId="165" fontId="7" fillId="31" borderId="120" xfId="0" applyNumberFormat="1" applyFont="1" applyFill="1" applyBorder="1" applyAlignment="1">
      <alignment horizontal="left" vertical="center"/>
    </xf>
    <xf numFmtId="14" fontId="32" fillId="0" borderId="115" xfId="0" applyNumberFormat="1" applyFont="1" applyBorder="1" applyAlignment="1">
      <alignment vertical="center"/>
    </xf>
    <xf numFmtId="165" fontId="0" fillId="0" borderId="11" xfId="0" applyNumberFormat="1" applyBorder="1" applyAlignment="1">
      <alignment vertical="center"/>
    </xf>
    <xf numFmtId="164" fontId="7" fillId="12" borderId="120" xfId="0" applyNumberFormat="1" applyFont="1" applyFill="1" applyBorder="1" applyAlignment="1">
      <alignment vertical="center"/>
    </xf>
    <xf numFmtId="164" fontId="31" fillId="0" borderId="12" xfId="1" applyNumberFormat="1" applyFont="1" applyBorder="1" applyAlignment="1">
      <alignment horizontal="center" vertical="center" wrapText="1"/>
    </xf>
    <xf numFmtId="165" fontId="69" fillId="9" borderId="120" xfId="0" applyNumberFormat="1" applyFont="1" applyFill="1" applyBorder="1" applyAlignment="1">
      <alignment vertical="center"/>
    </xf>
    <xf numFmtId="165" fontId="69" fillId="18" borderId="120" xfId="0" applyNumberFormat="1" applyFont="1" applyFill="1" applyBorder="1" applyAlignment="1">
      <alignment vertical="center"/>
    </xf>
    <xf numFmtId="165" fontId="69" fillId="20" borderId="120" xfId="0" applyNumberFormat="1" applyFont="1" applyFill="1" applyBorder="1" applyAlignment="1">
      <alignment vertical="center"/>
    </xf>
    <xf numFmtId="165" fontId="55" fillId="15" borderId="120" xfId="0" applyNumberFormat="1" applyFont="1" applyFill="1" applyBorder="1" applyAlignment="1">
      <alignment vertical="center"/>
    </xf>
    <xf numFmtId="165" fontId="69" fillId="22" borderId="120" xfId="0" applyNumberFormat="1" applyFont="1" applyFill="1" applyBorder="1" applyAlignment="1">
      <alignment vertical="center"/>
    </xf>
    <xf numFmtId="164" fontId="93" fillId="32" borderId="18" xfId="1" applyNumberFormat="1" applyFont="1" applyFill="1" applyBorder="1" applyAlignment="1">
      <alignment horizontal="center" vertical="center" wrapText="1"/>
    </xf>
    <xf numFmtId="165" fontId="55" fillId="4" borderId="120" xfId="0" applyNumberFormat="1" applyFont="1" applyFill="1" applyBorder="1" applyAlignment="1">
      <alignment vertical="center"/>
    </xf>
    <xf numFmtId="0" fontId="46" fillId="22" borderId="8" xfId="0" applyFont="1" applyFill="1" applyBorder="1" applyAlignment="1">
      <alignment horizontal="center" vertical="center"/>
    </xf>
    <xf numFmtId="164" fontId="16" fillId="21" borderId="81" xfId="1" applyNumberFormat="1" applyFont="1" applyFill="1" applyBorder="1" applyAlignment="1">
      <alignment horizontal="center" vertical="center" wrapText="1"/>
    </xf>
    <xf numFmtId="164" fontId="16" fillId="21" borderId="29" xfId="1" applyNumberFormat="1" applyFont="1" applyFill="1" applyBorder="1" applyAlignment="1">
      <alignment horizontal="center" vertical="center" wrapText="1"/>
    </xf>
    <xf numFmtId="164" fontId="16" fillId="21" borderId="82" xfId="1" applyNumberFormat="1" applyFont="1" applyFill="1" applyBorder="1" applyAlignment="1">
      <alignment horizontal="center" vertical="center" wrapText="1"/>
    </xf>
    <xf numFmtId="0" fontId="28" fillId="22" borderId="8" xfId="0" applyFont="1" applyFill="1" applyBorder="1" applyAlignment="1">
      <alignment horizontal="right" vertical="center" wrapText="1"/>
    </xf>
    <xf numFmtId="0" fontId="16" fillId="22" borderId="8" xfId="0" applyFont="1" applyFill="1" applyBorder="1" applyAlignment="1">
      <alignment horizontal="right" vertical="center" wrapText="1"/>
    </xf>
    <xf numFmtId="0" fontId="2" fillId="29" borderId="10" xfId="0" applyFont="1" applyFill="1" applyBorder="1" applyAlignment="1">
      <alignment horizontal="center" vertical="center"/>
    </xf>
    <xf numFmtId="0" fontId="2" fillId="29" borderId="2" xfId="0" applyFont="1" applyFill="1" applyBorder="1" applyAlignment="1">
      <alignment horizontal="center" vertical="center"/>
    </xf>
    <xf numFmtId="0" fontId="2" fillId="29" borderId="3" xfId="0" applyFont="1" applyFill="1" applyBorder="1" applyAlignment="1">
      <alignment horizontal="center" vertical="center"/>
    </xf>
    <xf numFmtId="0" fontId="2" fillId="29" borderId="4" xfId="0" applyFont="1" applyFill="1" applyBorder="1" applyAlignment="1">
      <alignment horizontal="center" vertical="center"/>
    </xf>
    <xf numFmtId="0" fontId="2" fillId="29" borderId="0" xfId="0" applyFont="1" applyFill="1" applyAlignment="1">
      <alignment horizontal="center" vertical="center"/>
    </xf>
    <xf numFmtId="0" fontId="2" fillId="29" borderId="5" xfId="0" applyFont="1" applyFill="1" applyBorder="1" applyAlignment="1">
      <alignment horizontal="center" vertical="center"/>
    </xf>
    <xf numFmtId="0" fontId="2" fillId="29" borderId="31" xfId="0" applyFont="1" applyFill="1" applyBorder="1" applyAlignment="1">
      <alignment horizontal="center" vertical="center"/>
    </xf>
    <xf numFmtId="0" fontId="28" fillId="29" borderId="10" xfId="0" applyFont="1" applyFill="1" applyBorder="1" applyAlignment="1">
      <alignment horizontal="center" vertical="center" textRotation="90" wrapText="1"/>
    </xf>
    <xf numFmtId="0" fontId="28" fillId="29" borderId="2" xfId="0" applyFont="1" applyFill="1" applyBorder="1" applyAlignment="1">
      <alignment horizontal="center" vertical="center" textRotation="90" wrapText="1"/>
    </xf>
    <xf numFmtId="0" fontId="28" fillId="29" borderId="3" xfId="0" applyFont="1" applyFill="1" applyBorder="1" applyAlignment="1">
      <alignment horizontal="center" vertical="center" textRotation="90" wrapText="1"/>
    </xf>
    <xf numFmtId="0" fontId="28" fillId="29" borderId="4" xfId="0" applyFont="1" applyFill="1" applyBorder="1" applyAlignment="1">
      <alignment horizontal="center" vertical="center" textRotation="90" wrapText="1"/>
    </xf>
    <xf numFmtId="0" fontId="28" fillId="29" borderId="5" xfId="0" applyFont="1" applyFill="1" applyBorder="1" applyAlignment="1">
      <alignment horizontal="center" vertical="center" textRotation="90" wrapText="1"/>
    </xf>
    <xf numFmtId="0" fontId="28" fillId="29" borderId="31" xfId="0" applyFont="1" applyFill="1" applyBorder="1" applyAlignment="1">
      <alignment horizontal="center" vertical="center" textRotation="90" wrapText="1"/>
    </xf>
    <xf numFmtId="164" fontId="7" fillId="21" borderId="83" xfId="1" applyNumberFormat="1" applyFont="1" applyFill="1" applyBorder="1" applyAlignment="1">
      <alignment horizontal="right" vertical="center" wrapText="1"/>
    </xf>
    <xf numFmtId="164" fontId="7" fillId="21" borderId="15" xfId="1" applyNumberFormat="1" applyFont="1" applyFill="1" applyBorder="1" applyAlignment="1">
      <alignment horizontal="right" vertical="center" wrapText="1"/>
    </xf>
    <xf numFmtId="0" fontId="18" fillId="16" borderId="30" xfId="0" applyFont="1" applyFill="1" applyBorder="1" applyAlignment="1">
      <alignment horizontal="center" vertical="center" textRotation="90"/>
    </xf>
    <xf numFmtId="0" fontId="18" fillId="16" borderId="22" xfId="0" applyFont="1" applyFill="1" applyBorder="1" applyAlignment="1">
      <alignment horizontal="center" vertical="center" textRotation="90"/>
    </xf>
    <xf numFmtId="0" fontId="2" fillId="29" borderId="12" xfId="0" applyFont="1" applyFill="1" applyBorder="1" applyAlignment="1">
      <alignment horizontal="center" vertical="center" textRotation="90" wrapText="1"/>
    </xf>
    <xf numFmtId="0" fontId="32" fillId="21" borderId="17" xfId="0" applyFont="1" applyFill="1" applyBorder="1" applyAlignment="1">
      <alignment horizontal="center" vertical="center" textRotation="90" wrapText="1"/>
    </xf>
    <xf numFmtId="0" fontId="32" fillId="21" borderId="12" xfId="0" applyFont="1" applyFill="1" applyBorder="1" applyAlignment="1">
      <alignment horizontal="center" vertical="center" textRotation="90" wrapText="1"/>
    </xf>
    <xf numFmtId="0" fontId="32" fillId="4" borderId="12" xfId="0" applyFont="1" applyFill="1" applyBorder="1" applyAlignment="1">
      <alignment horizontal="center" vertical="center" textRotation="90" wrapText="1"/>
    </xf>
    <xf numFmtId="0" fontId="32" fillId="4" borderId="24" xfId="0" applyFont="1" applyFill="1" applyBorder="1" applyAlignment="1">
      <alignment horizontal="center" vertical="center" textRotation="90" wrapText="1"/>
    </xf>
    <xf numFmtId="44" fontId="17" fillId="19" borderId="73" xfId="1" applyFont="1" applyFill="1" applyBorder="1" applyAlignment="1">
      <alignment horizontal="center" vertical="center" wrapText="1"/>
    </xf>
    <xf numFmtId="44" fontId="17" fillId="19" borderId="74" xfId="1" applyFont="1" applyFill="1" applyBorder="1" applyAlignment="1">
      <alignment horizontal="center" vertical="center" wrapText="1"/>
    </xf>
    <xf numFmtId="0" fontId="17" fillId="12" borderId="92" xfId="0" applyFont="1" applyFill="1" applyBorder="1" applyAlignment="1">
      <alignment horizontal="center" vertical="center" wrapText="1"/>
    </xf>
    <xf numFmtId="0" fontId="17" fillId="12" borderId="93" xfId="0" applyFont="1" applyFill="1" applyBorder="1" applyAlignment="1">
      <alignment horizontal="center" vertical="center" wrapText="1"/>
    </xf>
    <xf numFmtId="0" fontId="17" fillId="12" borderId="94" xfId="0" applyFont="1" applyFill="1" applyBorder="1" applyAlignment="1">
      <alignment horizontal="center" vertical="center" wrapText="1"/>
    </xf>
    <xf numFmtId="0" fontId="16" fillId="29" borderId="28" xfId="0" applyFont="1" applyFill="1" applyBorder="1" applyAlignment="1">
      <alignment horizontal="center" vertical="center" wrapText="1"/>
    </xf>
    <xf numFmtId="0" fontId="16" fillId="29" borderId="29" xfId="0" applyFont="1" applyFill="1" applyBorder="1" applyAlignment="1">
      <alignment horizontal="center" vertical="center" wrapText="1"/>
    </xf>
    <xf numFmtId="0" fontId="16" fillId="29" borderId="32" xfId="0" applyFont="1" applyFill="1" applyBorder="1" applyAlignment="1">
      <alignment horizontal="center" vertical="center" wrapText="1"/>
    </xf>
    <xf numFmtId="164" fontId="7" fillId="29" borderId="79" xfId="1" applyNumberFormat="1" applyFont="1" applyFill="1" applyBorder="1" applyAlignment="1">
      <alignment horizontal="right" vertical="center" wrapText="1"/>
    </xf>
    <xf numFmtId="164" fontId="7" fillId="29" borderId="17" xfId="1" applyNumberFormat="1" applyFont="1" applyFill="1" applyBorder="1" applyAlignment="1">
      <alignment horizontal="right" vertical="center" wrapText="1"/>
    </xf>
    <xf numFmtId="44" fontId="18" fillId="29" borderId="21" xfId="1" applyFont="1" applyFill="1" applyBorder="1" applyAlignment="1">
      <alignment horizontal="right" vertical="center" wrapText="1"/>
    </xf>
    <xf numFmtId="44" fontId="18" fillId="29" borderId="16" xfId="1" applyFont="1" applyFill="1" applyBorder="1" applyAlignment="1">
      <alignment horizontal="right" vertical="center" wrapText="1"/>
    </xf>
    <xf numFmtId="0" fontId="28" fillId="20" borderId="25" xfId="0" applyFont="1" applyFill="1" applyBorder="1" applyAlignment="1">
      <alignment horizontal="center" vertical="center" wrapText="1"/>
    </xf>
    <xf numFmtId="0" fontId="28" fillId="20" borderId="16" xfId="0" applyFont="1" applyFill="1" applyBorder="1" applyAlignment="1">
      <alignment horizontal="center" vertical="center" wrapText="1"/>
    </xf>
    <xf numFmtId="0" fontId="28" fillId="20" borderId="20" xfId="0" applyFont="1" applyFill="1" applyBorder="1" applyAlignment="1">
      <alignment horizontal="center" vertical="center" wrapText="1"/>
    </xf>
    <xf numFmtId="0" fontId="32" fillId="29" borderId="17" xfId="0" applyFont="1" applyFill="1" applyBorder="1" applyAlignment="1">
      <alignment horizontal="center" vertical="center" wrapText="1"/>
    </xf>
    <xf numFmtId="0" fontId="32" fillId="29" borderId="12" xfId="0" applyFont="1" applyFill="1" applyBorder="1" applyAlignment="1">
      <alignment horizontal="center" vertical="center" wrapText="1"/>
    </xf>
    <xf numFmtId="44" fontId="18" fillId="18" borderId="19" xfId="1" applyFont="1" applyFill="1" applyBorder="1" applyAlignment="1">
      <alignment horizontal="right" vertical="center" wrapText="1"/>
    </xf>
    <xf numFmtId="44" fontId="15" fillId="18" borderId="8" xfId="1" applyFont="1" applyFill="1" applyBorder="1" applyAlignment="1">
      <alignment horizontal="right" vertical="center" wrapText="1"/>
    </xf>
    <xf numFmtId="44" fontId="15" fillId="18" borderId="25" xfId="1" applyFont="1" applyFill="1" applyBorder="1" applyAlignment="1">
      <alignment horizontal="right" vertical="center" wrapText="1"/>
    </xf>
    <xf numFmtId="0" fontId="32" fillId="29" borderId="12" xfId="0" applyFont="1" applyFill="1" applyBorder="1" applyAlignment="1">
      <alignment horizontal="center" vertical="center" textRotation="90" wrapText="1"/>
    </xf>
    <xf numFmtId="0" fontId="16" fillId="29" borderId="19" xfId="0" applyFont="1" applyFill="1" applyBorder="1" applyAlignment="1">
      <alignment horizontal="center" vertical="center" wrapText="1"/>
    </xf>
    <xf numFmtId="0" fontId="16" fillId="29" borderId="8" xfId="0" applyFont="1" applyFill="1" applyBorder="1" applyAlignment="1">
      <alignment horizontal="center" vertical="center" wrapText="1"/>
    </xf>
    <xf numFmtId="164" fontId="43" fillId="0" borderId="12" xfId="0" applyNumberFormat="1" applyFont="1" applyBorder="1" applyAlignment="1">
      <alignment horizontal="center" vertical="center" wrapText="1"/>
    </xf>
    <xf numFmtId="164" fontId="43" fillId="0" borderId="26" xfId="0" applyNumberFormat="1" applyFont="1" applyBorder="1" applyAlignment="1">
      <alignment horizontal="center" vertical="center" wrapText="1"/>
    </xf>
    <xf numFmtId="0" fontId="17" fillId="18" borderId="19" xfId="0" applyFont="1" applyFill="1" applyBorder="1" applyAlignment="1">
      <alignment horizontal="center" vertical="center" wrapText="1"/>
    </xf>
    <xf numFmtId="0" fontId="17" fillId="18" borderId="8" xfId="0" applyFont="1" applyFill="1" applyBorder="1" applyAlignment="1">
      <alignment horizontal="center" vertical="center" wrapText="1"/>
    </xf>
    <xf numFmtId="0" fontId="17" fillId="18" borderId="1" xfId="0" applyFont="1" applyFill="1" applyBorder="1" applyAlignment="1">
      <alignment horizontal="center" vertical="center" wrapText="1"/>
    </xf>
    <xf numFmtId="0" fontId="17" fillId="18" borderId="9" xfId="0" applyFont="1" applyFill="1" applyBorder="1" applyAlignment="1">
      <alignment horizontal="center" vertical="center" wrapText="1"/>
    </xf>
    <xf numFmtId="0" fontId="28" fillId="16" borderId="19" xfId="0" applyFont="1" applyFill="1" applyBorder="1" applyAlignment="1">
      <alignment horizontal="right" vertical="top" wrapText="1"/>
    </xf>
    <xf numFmtId="0" fontId="28" fillId="16" borderId="8" xfId="0" applyFont="1" applyFill="1" applyBorder="1" applyAlignment="1">
      <alignment horizontal="right" vertical="top" wrapText="1"/>
    </xf>
    <xf numFmtId="0" fontId="28" fillId="16" borderId="25" xfId="0" applyFont="1" applyFill="1" applyBorder="1" applyAlignment="1">
      <alignment horizontal="right" vertical="top" wrapText="1"/>
    </xf>
    <xf numFmtId="44" fontId="33" fillId="29" borderId="17" xfId="1" applyFont="1" applyFill="1" applyBorder="1" applyAlignment="1">
      <alignment horizontal="center" vertical="center" wrapText="1"/>
    </xf>
    <xf numFmtId="44" fontId="33" fillId="29" borderId="12" xfId="1" applyFont="1" applyFill="1" applyBorder="1" applyAlignment="1">
      <alignment horizontal="center" vertical="center" wrapText="1"/>
    </xf>
    <xf numFmtId="44" fontId="33" fillId="29" borderId="18" xfId="1" applyFont="1" applyFill="1" applyBorder="1" applyAlignment="1">
      <alignment horizontal="center" vertical="center" wrapText="1"/>
    </xf>
    <xf numFmtId="165" fontId="24" fillId="15" borderId="55" xfId="1" applyNumberFormat="1" applyFont="1" applyFill="1" applyBorder="1" applyAlignment="1">
      <alignment horizontal="right" vertical="center" wrapText="1"/>
    </xf>
    <xf numFmtId="165" fontId="24" fillId="15" borderId="56" xfId="1" applyNumberFormat="1" applyFont="1" applyFill="1" applyBorder="1" applyAlignment="1">
      <alignment horizontal="right" vertical="center" wrapText="1"/>
    </xf>
    <xf numFmtId="0" fontId="15" fillId="12" borderId="98" xfId="0" applyFont="1" applyFill="1" applyBorder="1" applyAlignment="1">
      <alignment horizontal="right" vertical="center"/>
    </xf>
    <xf numFmtId="0" fontId="15" fillId="12" borderId="99" xfId="0" applyFont="1" applyFill="1" applyBorder="1" applyAlignment="1">
      <alignment horizontal="right" vertical="center"/>
    </xf>
    <xf numFmtId="0" fontId="15" fillId="12" borderId="100" xfId="0" applyFont="1" applyFill="1" applyBorder="1" applyAlignment="1">
      <alignment horizontal="right" vertical="center"/>
    </xf>
    <xf numFmtId="0" fontId="15" fillId="12" borderId="101" xfId="0" applyFont="1" applyFill="1" applyBorder="1" applyAlignment="1">
      <alignment horizontal="right" vertical="center"/>
    </xf>
    <xf numFmtId="0" fontId="33" fillId="29" borderId="11" xfId="1" applyNumberFormat="1" applyFont="1" applyFill="1" applyBorder="1" applyAlignment="1">
      <alignment horizontal="center" vertical="center" textRotation="90" wrapText="1"/>
    </xf>
    <xf numFmtId="44" fontId="28" fillId="27" borderId="27" xfId="1" applyFont="1" applyFill="1" applyBorder="1" applyAlignment="1">
      <alignment horizontal="right" vertical="center" wrapText="1"/>
    </xf>
    <xf numFmtId="44" fontId="28" fillId="27" borderId="16" xfId="1" applyFont="1" applyFill="1" applyBorder="1" applyAlignment="1">
      <alignment horizontal="right" vertical="center" wrapText="1"/>
    </xf>
    <xf numFmtId="164" fontId="72" fillId="28" borderId="17" xfId="0" applyNumberFormat="1" applyFont="1" applyFill="1" applyBorder="1" applyAlignment="1">
      <alignment horizontal="center" vertical="center" wrapText="1"/>
    </xf>
    <xf numFmtId="164" fontId="72" fillId="28" borderId="18" xfId="0" applyNumberFormat="1" applyFont="1" applyFill="1" applyBorder="1" applyAlignment="1">
      <alignment horizontal="center" vertical="center" wrapText="1"/>
    </xf>
    <xf numFmtId="0" fontId="31" fillId="0" borderId="17"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8" xfId="0" applyFont="1" applyBorder="1" applyAlignment="1">
      <alignment horizontal="center" vertical="center" wrapText="1"/>
    </xf>
    <xf numFmtId="165" fontId="31" fillId="28" borderId="17" xfId="1" applyNumberFormat="1" applyFont="1" applyFill="1" applyBorder="1" applyAlignment="1">
      <alignment horizontal="center" vertical="center" wrapText="1"/>
    </xf>
    <xf numFmtId="165" fontId="31" fillId="28" borderId="12" xfId="1" applyNumberFormat="1" applyFont="1" applyFill="1" applyBorder="1" applyAlignment="1">
      <alignment horizontal="center" vertical="center" wrapText="1"/>
    </xf>
    <xf numFmtId="165" fontId="31" fillId="28" borderId="18" xfId="1" applyNumberFormat="1" applyFont="1" applyFill="1" applyBorder="1" applyAlignment="1">
      <alignment horizontal="center" vertical="center" wrapText="1"/>
    </xf>
    <xf numFmtId="166" fontId="65" fillId="28" borderId="17" xfId="0" applyNumberFormat="1" applyFont="1" applyFill="1" applyBorder="1" applyAlignment="1">
      <alignment horizontal="center" vertical="center"/>
    </xf>
    <xf numFmtId="166" fontId="65" fillId="28" borderId="24" xfId="0" applyNumberFormat="1" applyFont="1" applyFill="1" applyBorder="1" applyAlignment="1">
      <alignment horizontal="center" vertical="center"/>
    </xf>
    <xf numFmtId="0" fontId="17" fillId="14" borderId="34" xfId="0" applyFont="1" applyFill="1" applyBorder="1" applyAlignment="1">
      <alignment horizontal="center" vertical="center"/>
    </xf>
    <xf numFmtId="0" fontId="17" fillId="14" borderId="113" xfId="0" applyFont="1" applyFill="1" applyBorder="1" applyAlignment="1">
      <alignment horizontal="center" vertical="center"/>
    </xf>
    <xf numFmtId="0" fontId="17" fillId="14" borderId="35" xfId="0" applyFont="1" applyFill="1" applyBorder="1" applyAlignment="1">
      <alignment horizontal="center" vertical="center"/>
    </xf>
    <xf numFmtId="0" fontId="17" fillId="15" borderId="47" xfId="0" applyFont="1" applyFill="1" applyBorder="1" applyAlignment="1">
      <alignment horizontal="center" vertical="center"/>
    </xf>
    <xf numFmtId="0" fontId="17" fillId="15" borderId="48" xfId="0" applyFont="1" applyFill="1" applyBorder="1" applyAlignment="1">
      <alignment horizontal="center" vertical="center"/>
    </xf>
    <xf numFmtId="0" fontId="17" fillId="15" borderId="49" xfId="0" applyFont="1" applyFill="1" applyBorder="1" applyAlignment="1">
      <alignment horizontal="center" vertical="center"/>
    </xf>
    <xf numFmtId="0" fontId="17" fillId="5" borderId="59" xfId="0" applyFont="1" applyFill="1" applyBorder="1" applyAlignment="1">
      <alignment horizontal="center" vertical="center" wrapText="1"/>
    </xf>
    <xf numFmtId="0" fontId="17" fillId="5" borderId="118" xfId="0" applyFont="1" applyFill="1" applyBorder="1" applyAlignment="1">
      <alignment horizontal="center" vertical="center" wrapText="1"/>
    </xf>
    <xf numFmtId="0" fontId="17" fillId="5" borderId="60" xfId="0" applyFont="1" applyFill="1" applyBorder="1" applyAlignment="1">
      <alignment horizontal="center" vertical="center" wrapText="1"/>
    </xf>
    <xf numFmtId="0" fontId="15" fillId="19" borderId="85" xfId="0" applyFont="1" applyFill="1" applyBorder="1" applyAlignment="1">
      <alignment horizontal="right" vertical="center" wrapText="1"/>
    </xf>
    <xf numFmtId="0" fontId="15" fillId="19" borderId="86" xfId="0" applyFont="1" applyFill="1" applyBorder="1" applyAlignment="1">
      <alignment horizontal="right" vertical="center" wrapText="1"/>
    </xf>
    <xf numFmtId="0" fontId="15" fillId="19" borderId="87" xfId="0" applyFont="1" applyFill="1" applyBorder="1" applyAlignment="1">
      <alignment horizontal="right" vertical="center" wrapText="1"/>
    </xf>
    <xf numFmtId="0" fontId="66" fillId="17" borderId="13" xfId="0" applyFont="1" applyFill="1" applyBorder="1" applyAlignment="1">
      <alignment horizontal="center" vertical="center" textRotation="90" wrapText="1"/>
    </xf>
    <xf numFmtId="0" fontId="66" fillId="17" borderId="12" xfId="0" applyFont="1" applyFill="1" applyBorder="1" applyAlignment="1">
      <alignment horizontal="center" vertical="center" textRotation="90" wrapText="1"/>
    </xf>
    <xf numFmtId="0" fontId="66" fillId="17" borderId="24" xfId="0" applyFont="1" applyFill="1" applyBorder="1" applyAlignment="1">
      <alignment horizontal="center" vertical="center" textRotation="90" wrapText="1"/>
    </xf>
    <xf numFmtId="0" fontId="64" fillId="17" borderId="110" xfId="0" applyFont="1" applyFill="1" applyBorder="1" applyAlignment="1">
      <alignment horizontal="center" vertical="center" textRotation="90"/>
    </xf>
    <xf numFmtId="0" fontId="64" fillId="17" borderId="111" xfId="0" applyFont="1" applyFill="1" applyBorder="1" applyAlignment="1">
      <alignment horizontal="center" vertical="center" textRotation="90"/>
    </xf>
    <xf numFmtId="44" fontId="24" fillId="14" borderId="41" xfId="1" applyFont="1" applyFill="1" applyBorder="1" applyAlignment="1">
      <alignment horizontal="right" vertical="center" wrapText="1"/>
    </xf>
    <xf numFmtId="44" fontId="24" fillId="14" borderId="42" xfId="1" applyFont="1" applyFill="1" applyBorder="1" applyAlignment="1">
      <alignment horizontal="right" vertical="center" wrapText="1"/>
    </xf>
    <xf numFmtId="44" fontId="24" fillId="14" borderId="43" xfId="1" applyFont="1" applyFill="1" applyBorder="1" applyAlignment="1">
      <alignment horizontal="right" vertical="center" wrapText="1"/>
    </xf>
    <xf numFmtId="0" fontId="18" fillId="14" borderId="37" xfId="0" applyFont="1" applyFill="1" applyBorder="1" applyAlignment="1">
      <alignment horizontal="center" vertical="center" textRotation="90" wrapText="1"/>
    </xf>
    <xf numFmtId="0" fontId="84" fillId="17" borderId="18" xfId="0" applyFont="1" applyFill="1" applyBorder="1" applyAlignment="1">
      <alignment horizontal="center" vertical="center" textRotation="90" wrapText="1"/>
    </xf>
    <xf numFmtId="0" fontId="84" fillId="17" borderId="11" xfId="0" applyFont="1" applyFill="1" applyBorder="1" applyAlignment="1">
      <alignment horizontal="center" vertical="center" textRotation="90" wrapText="1"/>
    </xf>
    <xf numFmtId="0" fontId="84" fillId="17" borderId="17" xfId="0" applyFont="1" applyFill="1" applyBorder="1" applyAlignment="1">
      <alignment horizontal="center" vertical="center" textRotation="90" wrapText="1"/>
    </xf>
    <xf numFmtId="0" fontId="2" fillId="15" borderId="52" xfId="0" applyFont="1" applyFill="1" applyBorder="1" applyAlignment="1">
      <alignment horizontal="center" vertical="center" textRotation="90" wrapText="1"/>
    </xf>
    <xf numFmtId="164" fontId="31" fillId="28" borderId="17" xfId="0" applyNumberFormat="1" applyFont="1" applyFill="1" applyBorder="1" applyAlignment="1">
      <alignment horizontal="center" vertical="center" wrapText="1"/>
    </xf>
    <xf numFmtId="164" fontId="31" fillId="28" borderId="18" xfId="0" applyNumberFormat="1" applyFont="1" applyFill="1" applyBorder="1" applyAlignment="1">
      <alignment horizontal="center" vertical="center" wrapText="1"/>
    </xf>
    <xf numFmtId="44" fontId="24" fillId="5" borderId="67" xfId="1" applyFont="1" applyFill="1" applyBorder="1" applyAlignment="1">
      <alignment horizontal="right" vertical="center" wrapText="1"/>
    </xf>
    <xf numFmtId="44" fontId="24" fillId="5" borderId="68" xfId="1" applyFont="1" applyFill="1" applyBorder="1" applyAlignment="1">
      <alignment horizontal="right" vertical="center" wrapText="1"/>
    </xf>
    <xf numFmtId="14" fontId="70" fillId="0" borderId="26" xfId="0" applyNumberFormat="1" applyFont="1" applyBorder="1" applyAlignment="1">
      <alignment vertical="center"/>
    </xf>
    <xf numFmtId="0" fontId="70" fillId="0" borderId="26" xfId="0" applyFont="1" applyBorder="1" applyAlignment="1">
      <alignment vertical="center"/>
    </xf>
    <xf numFmtId="0" fontId="64" fillId="17" borderId="110" xfId="0" applyFont="1" applyFill="1" applyBorder="1" applyAlignment="1">
      <alignment horizontal="center" vertical="center" wrapText="1"/>
    </xf>
    <xf numFmtId="0" fontId="64" fillId="17" borderId="109" xfId="0" applyFont="1" applyFill="1" applyBorder="1" applyAlignment="1">
      <alignment horizontal="center" vertical="center" wrapText="1"/>
    </xf>
    <xf numFmtId="0" fontId="64" fillId="17" borderId="111" xfId="0" applyFont="1" applyFill="1" applyBorder="1" applyAlignment="1">
      <alignment horizontal="center" vertical="center" wrapText="1"/>
    </xf>
    <xf numFmtId="0" fontId="64" fillId="17" borderId="109" xfId="0" applyFont="1" applyFill="1" applyBorder="1" applyAlignment="1">
      <alignment horizontal="center" vertical="center"/>
    </xf>
    <xf numFmtId="0" fontId="64" fillId="17" borderId="111" xfId="0" applyFont="1" applyFill="1" applyBorder="1" applyAlignment="1">
      <alignment horizontal="center" vertical="center"/>
    </xf>
    <xf numFmtId="0" fontId="6" fillId="25" borderId="19" xfId="0" applyFont="1" applyFill="1" applyBorder="1" applyAlignment="1">
      <alignment horizontal="center" vertical="center" wrapText="1"/>
    </xf>
    <xf numFmtId="0" fontId="6" fillId="25" borderId="8" xfId="0" applyFont="1" applyFill="1" applyBorder="1" applyAlignment="1">
      <alignment horizontal="center" vertical="center" wrapText="1"/>
    </xf>
    <xf numFmtId="0" fontId="6" fillId="25" borderId="9" xfId="0" applyFont="1" applyFill="1" applyBorder="1" applyAlignment="1">
      <alignment horizontal="center" vertical="center" wrapText="1"/>
    </xf>
    <xf numFmtId="0" fontId="32" fillId="17" borderId="17" xfId="0" applyFont="1" applyFill="1" applyBorder="1" applyAlignment="1">
      <alignment horizontal="center" vertical="center" wrapText="1"/>
    </xf>
    <xf numFmtId="0" fontId="32" fillId="17" borderId="18" xfId="0" applyFont="1" applyFill="1" applyBorder="1" applyAlignment="1">
      <alignment horizontal="center" vertical="center" wrapText="1"/>
    </xf>
    <xf numFmtId="0" fontId="29" fillId="0" borderId="19" xfId="0" applyFont="1" applyBorder="1" applyAlignment="1">
      <alignment horizontal="center" vertical="center" wrapText="1"/>
    </xf>
    <xf numFmtId="0" fontId="34" fillId="0" borderId="8" xfId="0" applyFont="1" applyBorder="1" applyAlignment="1">
      <alignment horizontal="center" vertical="center"/>
    </xf>
    <xf numFmtId="0" fontId="34" fillId="0" borderId="9" xfId="0" applyFont="1" applyBorder="1" applyAlignment="1">
      <alignment horizontal="center" vertical="center"/>
    </xf>
    <xf numFmtId="0" fontId="6" fillId="23" borderId="19" xfId="0" applyFont="1" applyFill="1" applyBorder="1" applyAlignment="1">
      <alignment horizontal="center" vertical="center" wrapText="1"/>
    </xf>
    <xf numFmtId="0" fontId="6" fillId="23" borderId="8" xfId="0" applyFont="1" applyFill="1" applyBorder="1" applyAlignment="1">
      <alignment horizontal="center" vertical="center" wrapText="1"/>
    </xf>
    <xf numFmtId="0" fontId="6" fillId="23" borderId="9" xfId="0" applyFont="1" applyFill="1" applyBorder="1" applyAlignment="1">
      <alignment horizontal="center" vertical="center" wrapText="1"/>
    </xf>
    <xf numFmtId="0" fontId="18" fillId="26" borderId="19" xfId="0" applyFont="1" applyFill="1" applyBorder="1" applyAlignment="1">
      <alignment horizontal="center" vertical="center" wrapText="1"/>
    </xf>
    <xf numFmtId="0" fontId="15" fillId="26" borderId="8" xfId="0" applyFont="1" applyFill="1" applyBorder="1" applyAlignment="1">
      <alignment horizontal="center" vertical="center" wrapText="1"/>
    </xf>
    <xf numFmtId="0" fontId="15" fillId="26" borderId="9" xfId="0" applyFont="1" applyFill="1" applyBorder="1" applyAlignment="1">
      <alignment horizontal="center" vertical="center" wrapText="1"/>
    </xf>
    <xf numFmtId="0" fontId="5" fillId="0" borderId="8" xfId="0" applyFont="1" applyBorder="1" applyAlignment="1">
      <alignment horizontal="left" vertical="top" wrapText="1"/>
    </xf>
    <xf numFmtId="0" fontId="4" fillId="3" borderId="10" xfId="0" applyFont="1" applyFill="1" applyBorder="1" applyAlignment="1">
      <alignment horizontal="center" vertical="center" textRotation="90" wrapText="1"/>
    </xf>
    <xf numFmtId="0" fontId="4" fillId="3" borderId="2" xfId="0" applyFont="1" applyFill="1" applyBorder="1" applyAlignment="1">
      <alignment horizontal="center" vertical="center" textRotation="90" wrapText="1"/>
    </xf>
    <xf numFmtId="0" fontId="18" fillId="27" borderId="0" xfId="0" applyFont="1" applyFill="1" applyAlignment="1">
      <alignment horizontal="center" vertical="center" textRotation="90" wrapText="1"/>
    </xf>
    <xf numFmtId="0" fontId="31" fillId="15" borderId="12" xfId="0" applyFont="1" applyFill="1" applyBorder="1" applyAlignment="1">
      <alignment horizontal="center" vertical="center" textRotation="90" wrapText="1"/>
    </xf>
    <xf numFmtId="0" fontId="40" fillId="15" borderId="12" xfId="0" applyFont="1" applyFill="1" applyBorder="1" applyAlignment="1">
      <alignment horizontal="center" vertical="center" textRotation="90" wrapText="1"/>
    </xf>
    <xf numFmtId="0" fontId="9" fillId="27" borderId="1" xfId="0" applyFont="1" applyFill="1" applyBorder="1" applyAlignment="1">
      <alignment horizontal="center" vertical="center"/>
    </xf>
    <xf numFmtId="0" fontId="0" fillId="27" borderId="1" xfId="0" applyFill="1" applyBorder="1"/>
    <xf numFmtId="0" fontId="2" fillId="5" borderId="61" xfId="0" applyFont="1" applyFill="1" applyBorder="1" applyAlignment="1">
      <alignment horizontal="center" vertical="center" textRotation="90" wrapText="1"/>
    </xf>
    <xf numFmtId="0" fontId="2" fillId="5" borderId="63" xfId="0" applyFont="1" applyFill="1" applyBorder="1" applyAlignment="1">
      <alignment horizontal="center" textRotation="90"/>
    </xf>
    <xf numFmtId="0" fontId="2" fillId="5" borderId="65" xfId="0" applyFont="1" applyFill="1" applyBorder="1" applyAlignment="1">
      <alignment horizontal="center" textRotation="90"/>
    </xf>
    <xf numFmtId="0" fontId="77" fillId="24" borderId="19" xfId="0" applyFont="1" applyFill="1" applyBorder="1" applyAlignment="1">
      <alignment horizontal="center" vertical="center" wrapText="1"/>
    </xf>
    <xf numFmtId="0" fontId="78" fillId="24" borderId="8" xfId="0" applyFont="1" applyFill="1" applyBorder="1" applyAlignment="1">
      <alignment horizontal="center" vertical="center"/>
    </xf>
    <xf numFmtId="0" fontId="78" fillId="24" borderId="9" xfId="0" applyFont="1" applyFill="1" applyBorder="1" applyAlignment="1">
      <alignment horizontal="center" vertical="center"/>
    </xf>
    <xf numFmtId="0" fontId="32" fillId="15" borderId="18" xfId="0" applyFont="1" applyFill="1" applyBorder="1" applyAlignment="1">
      <alignment horizontal="center" vertical="center" textRotation="90" wrapText="1"/>
    </xf>
    <xf numFmtId="0" fontId="32" fillId="15" borderId="11" xfId="0" applyFont="1" applyFill="1" applyBorder="1" applyAlignment="1">
      <alignment horizontal="center" vertical="center" textRotation="90" wrapText="1"/>
    </xf>
    <xf numFmtId="0" fontId="32" fillId="15" borderId="17" xfId="0" applyFont="1" applyFill="1" applyBorder="1" applyAlignment="1">
      <alignment horizontal="center" vertical="center" textRotation="90" wrapText="1"/>
    </xf>
    <xf numFmtId="0" fontId="6" fillId="0" borderId="3" xfId="0" applyFont="1" applyBorder="1" applyAlignment="1">
      <alignment horizontal="center" vertical="center" wrapText="1"/>
    </xf>
    <xf numFmtId="0" fontId="6" fillId="0" borderId="0" xfId="0" applyFont="1" applyAlignment="1">
      <alignment horizontal="center" vertical="center" wrapText="1"/>
    </xf>
    <xf numFmtId="0" fontId="67" fillId="0" borderId="0" xfId="0" applyFont="1" applyAlignment="1">
      <alignment horizontal="left" vertical="center"/>
    </xf>
    <xf numFmtId="0" fontId="2" fillId="21" borderId="79" xfId="0" applyFont="1" applyFill="1" applyBorder="1" applyAlignment="1">
      <alignment horizontal="center" vertical="center" textRotation="90" wrapText="1"/>
    </xf>
    <xf numFmtId="0" fontId="2" fillId="21" borderId="112" xfId="0" applyFont="1" applyFill="1" applyBorder="1" applyAlignment="1">
      <alignment horizontal="center" vertical="center" textRotation="90" wrapText="1"/>
    </xf>
    <xf numFmtId="44" fontId="64" fillId="29" borderId="77" xfId="1" applyFont="1" applyFill="1" applyBorder="1" applyAlignment="1">
      <alignment horizontal="center" vertical="center" textRotation="90" wrapText="1"/>
    </xf>
    <xf numFmtId="44" fontId="33" fillId="29" borderId="11" xfId="1" applyFont="1" applyFill="1" applyBorder="1" applyAlignment="1">
      <alignment horizontal="center" vertical="center" textRotation="90" wrapText="1"/>
    </xf>
    <xf numFmtId="0" fontId="32" fillId="12" borderId="12" xfId="0" applyFont="1" applyFill="1" applyBorder="1" applyAlignment="1">
      <alignment horizontal="center" vertical="center" textRotation="90" wrapText="1"/>
    </xf>
    <xf numFmtId="0" fontId="32" fillId="12" borderId="24" xfId="0" applyFont="1" applyFill="1" applyBorder="1" applyAlignment="1">
      <alignment horizontal="center" vertical="center" textRotation="90" wrapText="1"/>
    </xf>
    <xf numFmtId="0" fontId="32" fillId="12" borderId="13" xfId="0" applyFont="1" applyFill="1" applyBorder="1" applyAlignment="1">
      <alignment horizontal="center" vertical="center" textRotation="90" wrapText="1"/>
    </xf>
    <xf numFmtId="0" fontId="18" fillId="20" borderId="10" xfId="0" applyFont="1" applyFill="1" applyBorder="1" applyAlignment="1">
      <alignment horizontal="center" vertical="center" textRotation="90"/>
    </xf>
    <xf numFmtId="0" fontId="18" fillId="20" borderId="3" xfId="0" applyFont="1" applyFill="1" applyBorder="1" applyAlignment="1">
      <alignment horizontal="center" vertical="center" textRotation="90"/>
    </xf>
    <xf numFmtId="0" fontId="18" fillId="20" borderId="5" xfId="0" applyFont="1" applyFill="1" applyBorder="1" applyAlignment="1">
      <alignment horizontal="center" vertical="center" textRotation="90"/>
    </xf>
    <xf numFmtId="44" fontId="16" fillId="29" borderId="75" xfId="1" applyFont="1" applyFill="1" applyBorder="1" applyAlignment="1">
      <alignment horizontal="center" vertical="center" wrapText="1"/>
    </xf>
    <xf numFmtId="44" fontId="16" fillId="29" borderId="14" xfId="1" applyFont="1" applyFill="1" applyBorder="1" applyAlignment="1">
      <alignment horizontal="center" vertical="center" wrapText="1"/>
    </xf>
    <xf numFmtId="44" fontId="16" fillId="29" borderId="117" xfId="1" applyFont="1" applyFill="1" applyBorder="1" applyAlignment="1">
      <alignment horizontal="center" vertical="center" wrapText="1"/>
    </xf>
    <xf numFmtId="44" fontId="16" fillId="29" borderId="76" xfId="1" applyFont="1" applyFill="1" applyBorder="1" applyAlignment="1">
      <alignment horizontal="center" vertical="center" wrapText="1"/>
    </xf>
    <xf numFmtId="0" fontId="18" fillId="18" borderId="6" xfId="0" applyFont="1" applyFill="1" applyBorder="1" applyAlignment="1">
      <alignment horizontal="center" vertical="center" textRotation="90"/>
    </xf>
    <xf numFmtId="0" fontId="18" fillId="18" borderId="7" xfId="0" applyFont="1" applyFill="1" applyBorder="1" applyAlignment="1">
      <alignment horizontal="center" vertical="center" textRotation="90"/>
    </xf>
    <xf numFmtId="0" fontId="18" fillId="18" borderId="23" xfId="0" applyFont="1" applyFill="1" applyBorder="1" applyAlignment="1">
      <alignment horizontal="center" vertical="center" textRotation="90"/>
    </xf>
    <xf numFmtId="0" fontId="39" fillId="21" borderId="17" xfId="0" applyFont="1" applyFill="1" applyBorder="1" applyAlignment="1">
      <alignment horizontal="center" vertical="center" wrapText="1"/>
    </xf>
    <xf numFmtId="0" fontId="39" fillId="21" borderId="12" xfId="0" applyFont="1" applyFill="1" applyBorder="1" applyAlignment="1">
      <alignment horizontal="center" vertical="center" wrapText="1"/>
    </xf>
    <xf numFmtId="0" fontId="0" fillId="15" borderId="1" xfId="0" applyFill="1" applyBorder="1" applyAlignment="1">
      <alignment horizontal="center"/>
    </xf>
    <xf numFmtId="0" fontId="0" fillId="15" borderId="0" xfId="0" applyFill="1" applyAlignment="1">
      <alignment horizontal="center"/>
    </xf>
    <xf numFmtId="0" fontId="0" fillId="15" borderId="26" xfId="0" applyFill="1" applyBorder="1" applyAlignment="1">
      <alignment horizontal="center"/>
    </xf>
    <xf numFmtId="0" fontId="2" fillId="12" borderId="95" xfId="0" applyFont="1" applyFill="1" applyBorder="1" applyAlignment="1">
      <alignment horizontal="center" vertical="center" textRotation="90" wrapText="1"/>
    </xf>
    <xf numFmtId="0" fontId="2" fillId="12" borderId="97" xfId="0" applyFont="1" applyFill="1" applyBorder="1" applyAlignment="1">
      <alignment horizontal="center" vertical="center" textRotation="90" wrapText="1"/>
    </xf>
    <xf numFmtId="44" fontId="9" fillId="16" borderId="1" xfId="1" applyFont="1" applyFill="1" applyBorder="1" applyAlignment="1">
      <alignment horizontal="center" vertical="center" wrapText="1"/>
    </xf>
    <xf numFmtId="44" fontId="9" fillId="16" borderId="8" xfId="1" applyFont="1" applyFill="1" applyBorder="1" applyAlignment="1">
      <alignment horizontal="center" vertical="center" wrapText="1"/>
    </xf>
    <xf numFmtId="0" fontId="32" fillId="5" borderId="12" xfId="0" applyFont="1" applyFill="1" applyBorder="1" applyAlignment="1">
      <alignment horizontal="center" vertical="center" textRotation="90" wrapText="1"/>
    </xf>
    <xf numFmtId="0" fontId="2" fillId="5" borderId="12" xfId="0" applyFont="1" applyFill="1" applyBorder="1" applyAlignment="1">
      <alignment horizontal="center" vertical="center" textRotation="90" wrapText="1"/>
    </xf>
    <xf numFmtId="164" fontId="31" fillId="32" borderId="115" xfId="1" applyNumberFormat="1" applyFont="1" applyFill="1" applyBorder="1" applyAlignment="1">
      <alignment vertical="center" wrapText="1"/>
    </xf>
    <xf numFmtId="164" fontId="31" fillId="32" borderId="115" xfId="1" applyNumberFormat="1" applyFont="1" applyFill="1" applyBorder="1" applyAlignment="1">
      <alignment horizontal="center" vertical="center" wrapText="1"/>
    </xf>
    <xf numFmtId="164" fontId="31" fillId="32" borderId="116" xfId="0" applyNumberFormat="1" applyFont="1" applyFill="1" applyBorder="1" applyAlignment="1">
      <alignment vertical="center" wrapText="1"/>
    </xf>
    <xf numFmtId="164" fontId="68" fillId="33" borderId="120" xfId="0" applyNumberFormat="1" applyFont="1" applyFill="1" applyBorder="1" applyAlignment="1">
      <alignment horizontal="center" vertical="center" wrapText="1"/>
    </xf>
    <xf numFmtId="164" fontId="31" fillId="32" borderId="11" xfId="1" applyNumberFormat="1" applyFont="1" applyFill="1" applyBorder="1" applyAlignment="1">
      <alignment vertical="center" wrapText="1"/>
    </xf>
    <xf numFmtId="165" fontId="2" fillId="32" borderId="115" xfId="0" applyNumberFormat="1" applyFont="1" applyFill="1" applyBorder="1" applyAlignment="1">
      <alignment vertical="center"/>
    </xf>
    <xf numFmtId="165" fontId="64" fillId="32" borderId="115" xfId="0" applyNumberFormat="1" applyFont="1" applyFill="1" applyBorder="1" applyAlignment="1">
      <alignment vertical="center"/>
    </xf>
    <xf numFmtId="164" fontId="87" fillId="30" borderId="17" xfId="0" applyNumberFormat="1" applyFont="1" applyFill="1" applyBorder="1" applyAlignment="1">
      <alignment horizontal="center" vertical="center"/>
    </xf>
    <xf numFmtId="164" fontId="87" fillId="30" borderId="18" xfId="0" applyNumberFormat="1" applyFont="1" applyFill="1" applyBorder="1" applyAlignment="1">
      <alignment horizontal="center" vertical="center"/>
    </xf>
    <xf numFmtId="164" fontId="31" fillId="32" borderId="115" xfId="0" applyNumberFormat="1" applyFont="1" applyFill="1" applyBorder="1" applyAlignment="1">
      <alignment vertical="center" wrapText="1"/>
    </xf>
    <xf numFmtId="164" fontId="31" fillId="32" borderId="114" xfId="0" applyNumberFormat="1" applyFont="1" applyFill="1" applyBorder="1" applyAlignment="1">
      <alignment horizontal="center" vertical="center" wrapText="1"/>
    </xf>
    <xf numFmtId="164" fontId="31" fillId="32" borderId="114" xfId="1" applyNumberFormat="1" applyFont="1" applyFill="1" applyBorder="1" applyAlignment="1">
      <alignment horizontal="center" vertical="center" wrapText="1"/>
    </xf>
    <xf numFmtId="164" fontId="31" fillId="32" borderId="18" xfId="1" applyNumberFormat="1" applyFont="1" applyFill="1" applyBorder="1" applyAlignment="1">
      <alignment horizontal="center" vertical="center" wrapText="1"/>
    </xf>
    <xf numFmtId="164" fontId="31" fillId="32" borderId="11" xfId="1" applyNumberFormat="1" applyFont="1" applyFill="1" applyBorder="1" applyAlignment="1">
      <alignment horizontal="center" vertical="center" wrapText="1"/>
    </xf>
    <xf numFmtId="164" fontId="30" fillId="32" borderId="12" xfId="1" applyNumberFormat="1" applyFont="1" applyFill="1" applyBorder="1" applyAlignment="1">
      <alignment horizontal="center" vertical="center" wrapText="1"/>
    </xf>
    <xf numFmtId="164" fontId="31" fillId="32" borderId="11" xfId="0" applyNumberFormat="1" applyFont="1" applyFill="1" applyBorder="1" applyAlignment="1">
      <alignment horizontal="center" vertical="center" wrapText="1"/>
    </xf>
    <xf numFmtId="164" fontId="31" fillId="32" borderId="115" xfId="0" applyNumberFormat="1" applyFont="1" applyFill="1" applyBorder="1" applyAlignment="1">
      <alignment horizontal="center" vertical="center" wrapText="1"/>
    </xf>
  </cellXfs>
  <cellStyles count="3">
    <cellStyle name="Monétaire" xfId="1" builtinId="4"/>
    <cellStyle name="Monétaire 2" xfId="2" xr:uid="{6575BC0A-0501-4428-92C3-EEE93ABDABC7}"/>
    <cellStyle name="Normal" xfId="0" builtinId="0"/>
  </cellStyles>
  <dxfs count="0"/>
  <tableStyles count="0" defaultTableStyle="TableStyleMedium9" defaultPivotStyle="PivotStyleLight16"/>
  <colors>
    <mruColors>
      <color rgb="FFFFCC99"/>
      <color rgb="FF9E5ECE"/>
      <color rgb="FFFF66CC"/>
      <color rgb="FFFF66FF"/>
      <color rgb="FFCC9900"/>
      <color rgb="FF8BD050"/>
      <color rgb="FFDEBCDC"/>
      <color rgb="FF4DD367"/>
      <color rgb="FF893BC3"/>
      <color rgb="FF66D44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40"/>
  <sheetViews>
    <sheetView tabSelected="1" topLeftCell="A59" zoomScale="61" zoomScaleNormal="61" workbookViewId="0">
      <selection activeCell="N72" sqref="N72"/>
    </sheetView>
  </sheetViews>
  <sheetFormatPr baseColWidth="10" defaultColWidth="27.44140625" defaultRowHeight="23.4" x14ac:dyDescent="0.3"/>
  <cols>
    <col min="1" max="1" width="4.6640625" style="1" customWidth="1"/>
    <col min="2" max="2" width="14" style="1" customWidth="1"/>
    <col min="3" max="3" width="1.33203125" style="1" hidden="1" customWidth="1"/>
    <col min="4" max="4" width="12.5546875" style="335" customWidth="1"/>
    <col min="5" max="5" width="8" style="23" customWidth="1"/>
    <col min="6" max="6" width="10.109375" style="23" customWidth="1"/>
    <col min="7" max="7" width="15" style="47" customWidth="1"/>
    <col min="8" max="8" width="68.33203125" style="10" customWidth="1"/>
    <col min="9" max="9" width="2.6640625" style="5" hidden="1" customWidth="1"/>
    <col min="10" max="10" width="21.109375" style="203" customWidth="1"/>
    <col min="11" max="11" width="20.88671875" style="112" customWidth="1"/>
    <col min="12" max="12" width="25.5546875" style="175" customWidth="1"/>
    <col min="13" max="13" width="25.5546875" style="381" customWidth="1"/>
    <col min="14" max="14" width="25.5546875" style="175" customWidth="1"/>
    <col min="15" max="15" width="25.5546875" style="381" customWidth="1"/>
    <col min="16" max="16" width="3.6640625" style="1" customWidth="1"/>
    <col min="17" max="17" width="3.88671875" style="1" customWidth="1"/>
    <col min="18" max="18" width="15.44140625" style="491" customWidth="1"/>
    <col min="19" max="16384" width="27.44140625" style="1"/>
  </cols>
  <sheetData>
    <row r="1" spans="1:18" ht="24" thickBot="1" x14ac:dyDescent="0.35">
      <c r="B1" s="651" t="s">
        <v>160</v>
      </c>
      <c r="C1" s="652"/>
      <c r="D1" s="652"/>
      <c r="E1" s="652"/>
      <c r="F1" s="652"/>
    </row>
    <row r="2" spans="1:18" ht="31.5" customHeight="1" thickBot="1" x14ac:dyDescent="0.35">
      <c r="B2" s="663" t="s">
        <v>109</v>
      </c>
      <c r="C2" s="664"/>
      <c r="D2" s="664"/>
      <c r="E2" s="664"/>
      <c r="F2" s="664"/>
      <c r="G2" s="664"/>
      <c r="H2" s="664"/>
      <c r="I2" s="664"/>
      <c r="J2" s="664"/>
      <c r="K2" s="664"/>
      <c r="L2" s="664"/>
      <c r="M2" s="664"/>
      <c r="N2" s="664"/>
      <c r="O2" s="665"/>
    </row>
    <row r="3" spans="1:18" ht="163.5" customHeight="1" thickBot="1" x14ac:dyDescent="0.35">
      <c r="B3" s="683" t="s">
        <v>82</v>
      </c>
      <c r="C3" s="684"/>
      <c r="D3" s="684"/>
      <c r="E3" s="684"/>
      <c r="F3" s="684"/>
      <c r="G3" s="684"/>
      <c r="H3" s="684"/>
      <c r="I3" s="684"/>
      <c r="J3" s="684"/>
      <c r="K3" s="684"/>
      <c r="L3" s="684"/>
      <c r="M3" s="684"/>
      <c r="N3" s="684"/>
      <c r="O3" s="685"/>
      <c r="Q3" s="4"/>
    </row>
    <row r="4" spans="1:18" s="309" customFormat="1" ht="188.25" customHeight="1" thickBot="1" x14ac:dyDescent="0.35">
      <c r="B4" s="666" t="s">
        <v>83</v>
      </c>
      <c r="C4" s="667"/>
      <c r="D4" s="667"/>
      <c r="E4" s="667"/>
      <c r="F4" s="667"/>
      <c r="G4" s="667"/>
      <c r="H4" s="667"/>
      <c r="I4" s="667"/>
      <c r="J4" s="667"/>
      <c r="K4" s="667"/>
      <c r="L4" s="667"/>
      <c r="M4" s="667"/>
      <c r="N4" s="667"/>
      <c r="O4" s="668"/>
      <c r="R4" s="492"/>
    </row>
    <row r="5" spans="1:18" ht="190.5" customHeight="1" thickBot="1" x14ac:dyDescent="0.35">
      <c r="B5" s="658" t="s">
        <v>81</v>
      </c>
      <c r="C5" s="659"/>
      <c r="D5" s="659"/>
      <c r="E5" s="659"/>
      <c r="F5" s="659"/>
      <c r="G5" s="659"/>
      <c r="H5" s="659"/>
      <c r="I5" s="659"/>
      <c r="J5" s="659"/>
      <c r="K5" s="659"/>
      <c r="L5" s="659"/>
      <c r="M5" s="659"/>
      <c r="N5" s="659"/>
      <c r="O5" s="660"/>
      <c r="R5" s="492"/>
    </row>
    <row r="6" spans="1:18" ht="190.5" customHeight="1" thickBot="1" x14ac:dyDescent="0.35">
      <c r="B6" s="669" t="s">
        <v>107</v>
      </c>
      <c r="C6" s="670"/>
      <c r="D6" s="670"/>
      <c r="E6" s="670"/>
      <c r="F6" s="670"/>
      <c r="G6" s="670"/>
      <c r="H6" s="670"/>
      <c r="I6" s="670"/>
      <c r="J6" s="670"/>
      <c r="K6" s="670"/>
      <c r="L6" s="670"/>
      <c r="M6" s="670"/>
      <c r="N6" s="670"/>
      <c r="O6" s="671"/>
    </row>
    <row r="7" spans="1:18" ht="30.75" customHeight="1" thickBot="1" x14ac:dyDescent="0.35">
      <c r="B7" s="672" t="s">
        <v>175</v>
      </c>
      <c r="C7" s="672"/>
      <c r="D7" s="672"/>
      <c r="E7" s="672"/>
      <c r="F7" s="672"/>
      <c r="G7" s="672"/>
      <c r="H7" s="672"/>
      <c r="I7" s="672"/>
      <c r="J7" s="672"/>
      <c r="K7" s="672"/>
      <c r="L7" s="672"/>
      <c r="M7" s="672"/>
      <c r="N7" s="672"/>
      <c r="O7" s="672"/>
      <c r="R7" s="493"/>
    </row>
    <row r="8" spans="1:18" s="2" customFormat="1" ht="184.5" customHeight="1" thickBot="1" x14ac:dyDescent="0.35">
      <c r="B8" s="673" t="s">
        <v>3</v>
      </c>
      <c r="C8" s="674"/>
      <c r="D8" s="52" t="s">
        <v>21</v>
      </c>
      <c r="E8" s="52" t="s">
        <v>0</v>
      </c>
      <c r="F8" s="52" t="s">
        <v>4</v>
      </c>
      <c r="G8" s="52" t="s">
        <v>2</v>
      </c>
      <c r="H8" s="15" t="s">
        <v>7</v>
      </c>
      <c r="I8" s="16" t="s">
        <v>1</v>
      </c>
      <c r="J8" s="438" t="s">
        <v>115</v>
      </c>
      <c r="K8" s="72" t="s">
        <v>16</v>
      </c>
      <c r="L8" s="310" t="s">
        <v>73</v>
      </c>
      <c r="M8" s="382" t="s">
        <v>113</v>
      </c>
      <c r="N8" s="310" t="s">
        <v>74</v>
      </c>
      <c r="O8" s="382" t="s">
        <v>112</v>
      </c>
      <c r="P8" s="689"/>
      <c r="Q8" s="690"/>
      <c r="R8" s="526" t="s">
        <v>155</v>
      </c>
    </row>
    <row r="9" spans="1:18" s="2" customFormat="1" ht="43.5" customHeight="1" thickBot="1" x14ac:dyDescent="0.35">
      <c r="A9" s="699" t="s">
        <v>34</v>
      </c>
      <c r="B9" s="244"/>
      <c r="C9" s="244"/>
      <c r="D9" s="244"/>
      <c r="E9" s="244"/>
      <c r="F9" s="244"/>
      <c r="G9" s="244"/>
      <c r="H9" s="245"/>
      <c r="I9" s="246"/>
      <c r="J9" s="247"/>
      <c r="K9" s="248"/>
      <c r="L9" s="249"/>
      <c r="M9" s="383"/>
      <c r="N9" s="249"/>
      <c r="O9" s="383"/>
      <c r="P9" s="250"/>
      <c r="Q9" s="284"/>
      <c r="R9" s="492"/>
    </row>
    <row r="10" spans="1:18" s="2" customFormat="1" ht="49.5" customHeight="1" thickBot="1" x14ac:dyDescent="0.35">
      <c r="A10" s="700"/>
      <c r="B10" s="678" t="s">
        <v>13</v>
      </c>
      <c r="C10" s="679"/>
      <c r="D10" s="679"/>
      <c r="E10" s="679"/>
      <c r="F10" s="679"/>
      <c r="G10" s="679"/>
      <c r="H10" s="679"/>
      <c r="I10" s="679"/>
      <c r="J10" s="679"/>
      <c r="K10" s="679"/>
      <c r="L10" s="679"/>
      <c r="M10" s="679"/>
      <c r="N10" s="679"/>
      <c r="O10" s="679"/>
      <c r="P10" s="285"/>
      <c r="Q10" s="284"/>
      <c r="R10" s="492"/>
    </row>
    <row r="11" spans="1:18" ht="59.25" customHeight="1" thickTop="1" thickBot="1" x14ac:dyDescent="0.35">
      <c r="A11" s="700"/>
      <c r="B11" s="675" t="s">
        <v>6</v>
      </c>
      <c r="C11" s="251"/>
      <c r="D11" s="312" t="s">
        <v>78</v>
      </c>
      <c r="E11" s="311" t="s">
        <v>79</v>
      </c>
      <c r="F11" s="311" t="s">
        <v>4</v>
      </c>
      <c r="G11" s="311" t="s">
        <v>80</v>
      </c>
      <c r="H11" s="622" t="s">
        <v>5</v>
      </c>
      <c r="I11" s="622"/>
      <c r="J11" s="622"/>
      <c r="K11" s="622"/>
      <c r="L11" s="622"/>
      <c r="M11" s="623"/>
      <c r="N11" s="623"/>
      <c r="O11" s="624"/>
      <c r="P11" s="286"/>
      <c r="Q11" s="124"/>
    </row>
    <row r="12" spans="1:18" ht="46.5" customHeight="1" thickBot="1" x14ac:dyDescent="0.35">
      <c r="A12" s="700"/>
      <c r="B12" s="675"/>
      <c r="C12" s="642"/>
      <c r="D12" s="323"/>
      <c r="E12" s="643" t="s">
        <v>56</v>
      </c>
      <c r="F12" s="634" t="s">
        <v>94</v>
      </c>
      <c r="G12" s="306"/>
      <c r="H12" s="227" t="s">
        <v>58</v>
      </c>
      <c r="I12" s="228"/>
      <c r="J12" s="229">
        <v>2022</v>
      </c>
      <c r="K12" s="230"/>
      <c r="L12" s="231"/>
      <c r="M12" s="384"/>
      <c r="N12" s="352"/>
      <c r="O12" s="440"/>
      <c r="P12" s="286"/>
      <c r="Q12" s="124"/>
    </row>
    <row r="13" spans="1:18" ht="78.599999999999994" thickBot="1" x14ac:dyDescent="0.35">
      <c r="A13" s="700"/>
      <c r="B13" s="675"/>
      <c r="C13" s="642"/>
      <c r="D13" s="324"/>
      <c r="E13" s="643"/>
      <c r="F13" s="635"/>
      <c r="G13" s="306"/>
      <c r="H13" s="163" t="s">
        <v>150</v>
      </c>
      <c r="I13" s="69"/>
      <c r="J13" s="208">
        <v>4000</v>
      </c>
      <c r="K13" s="143"/>
      <c r="L13" s="173">
        <f>717.4+1434.8+3138.63-717.4-3138.63-1434.8+1560-1560</f>
        <v>0</v>
      </c>
      <c r="M13" s="385">
        <v>44805</v>
      </c>
      <c r="N13" s="720">
        <f>717.4+3138.63+1434.8+1560</f>
        <v>6850.83</v>
      </c>
      <c r="O13" s="441">
        <v>44831</v>
      </c>
      <c r="P13" s="286"/>
      <c r="Q13" s="124"/>
      <c r="R13" s="508">
        <f>4000-N13</f>
        <v>-2850.83</v>
      </c>
    </row>
    <row r="14" spans="1:18" ht="48" customHeight="1" thickBot="1" x14ac:dyDescent="0.35">
      <c r="A14" s="700"/>
      <c r="B14" s="675"/>
      <c r="C14" s="642"/>
      <c r="D14" s="324"/>
      <c r="E14" s="643"/>
      <c r="F14" s="635"/>
      <c r="G14" s="306"/>
      <c r="H14" s="164" t="s">
        <v>59</v>
      </c>
      <c r="I14" s="131"/>
      <c r="J14" s="132"/>
      <c r="K14" s="133"/>
      <c r="L14" s="177"/>
      <c r="M14" s="386"/>
      <c r="N14" s="354"/>
      <c r="O14" s="442"/>
      <c r="P14" s="286"/>
      <c r="Q14" s="124"/>
    </row>
    <row r="15" spans="1:18" ht="195.75" customHeight="1" thickBot="1" x14ac:dyDescent="0.35">
      <c r="A15" s="700"/>
      <c r="B15" s="675"/>
      <c r="C15" s="642"/>
      <c r="D15" s="325" t="s">
        <v>23</v>
      </c>
      <c r="E15" s="643"/>
      <c r="F15" s="635"/>
      <c r="G15" s="317" t="s">
        <v>14</v>
      </c>
      <c r="H15" s="144" t="s">
        <v>142</v>
      </c>
      <c r="I15" s="131"/>
      <c r="J15" s="209">
        <v>34000</v>
      </c>
      <c r="K15" s="143"/>
      <c r="L15" s="173">
        <f>5100+1300+1550-5100+900-750-800-900-1300</f>
        <v>0</v>
      </c>
      <c r="M15" s="385">
        <v>44775</v>
      </c>
      <c r="N15" s="720">
        <f>853.92+5100+960+750+1144.71+900+1300</f>
        <v>11008.630000000001</v>
      </c>
      <c r="O15" s="441">
        <v>44889</v>
      </c>
      <c r="P15" s="286"/>
      <c r="Q15" s="124"/>
      <c r="R15" s="490">
        <f>J15-L15-N15</f>
        <v>22991.37</v>
      </c>
    </row>
    <row r="16" spans="1:18" ht="182.25" customHeight="1" thickBot="1" x14ac:dyDescent="0.35">
      <c r="A16" s="700"/>
      <c r="B16" s="675"/>
      <c r="C16" s="642"/>
      <c r="D16" s="325" t="s">
        <v>104</v>
      </c>
      <c r="E16" s="643"/>
      <c r="F16" s="635"/>
      <c r="G16" s="661" t="s">
        <v>86</v>
      </c>
      <c r="H16" s="144" t="s">
        <v>138</v>
      </c>
      <c r="I16" s="69"/>
      <c r="J16" s="436">
        <f>60000+8200</f>
        <v>68200</v>
      </c>
      <c r="K16" s="522">
        <v>34500</v>
      </c>
      <c r="L16" s="178">
        <f>53594+12695+717.4+3840+5400-3808.65+780+780+600+427.35+99-3840+4011.44-5400-780-99-1428-5591.5-4011.44-600-780+400-43947.08-427.35-9646.92-2584.75-399.5</f>
        <v>3.637978807091713E-12</v>
      </c>
      <c r="M16" s="387">
        <v>44655</v>
      </c>
      <c r="N16" s="721">
        <f>2500+3808.65+3840+5400+780+99+1428+5591.5+4011.44+780+600+43947.08+427.35+9646.92+2584.75+400</f>
        <v>85844.69</v>
      </c>
      <c r="O16" s="443">
        <v>44886</v>
      </c>
      <c r="P16" s="286"/>
      <c r="Q16" s="124"/>
      <c r="R16" s="494">
        <f>J16-L16-N16</f>
        <v>-17644.690000000002</v>
      </c>
    </row>
    <row r="17" spans="1:18" ht="109.8" thickBot="1" x14ac:dyDescent="0.35">
      <c r="A17" s="700"/>
      <c r="B17" s="675"/>
      <c r="C17" s="642"/>
      <c r="D17" s="325" t="s">
        <v>54</v>
      </c>
      <c r="E17" s="643"/>
      <c r="F17" s="635"/>
      <c r="G17" s="662"/>
      <c r="H17" s="347" t="s">
        <v>179</v>
      </c>
      <c r="I17" s="69"/>
      <c r="J17" s="209">
        <v>12000</v>
      </c>
      <c r="K17" s="522">
        <v>4000</v>
      </c>
      <c r="L17" s="173">
        <f>12807.7+47.88-47.88-12807.7+11394-11394</f>
        <v>0</v>
      </c>
      <c r="M17" s="385">
        <v>44896</v>
      </c>
      <c r="N17" s="720">
        <f>47.88+12807.7+11394</f>
        <v>24249.58</v>
      </c>
      <c r="O17" s="441">
        <v>44900</v>
      </c>
      <c r="P17" s="286"/>
      <c r="Q17" s="124"/>
      <c r="R17" s="494">
        <f>J17-L17-N17</f>
        <v>-12249.580000000002</v>
      </c>
    </row>
    <row r="18" spans="1:18" ht="18.600000000000001" thickBot="1" x14ac:dyDescent="0.35">
      <c r="A18" s="700"/>
      <c r="B18" s="675"/>
      <c r="C18" s="642"/>
      <c r="D18" s="325" t="s">
        <v>55</v>
      </c>
      <c r="E18" s="643"/>
      <c r="F18" s="635"/>
      <c r="G18" s="306" t="s">
        <v>87</v>
      </c>
      <c r="H18" s="160" t="s">
        <v>156</v>
      </c>
      <c r="I18" s="69"/>
      <c r="J18" s="321">
        <v>2500</v>
      </c>
      <c r="K18" s="143"/>
      <c r="L18" s="173"/>
      <c r="M18" s="385"/>
      <c r="N18" s="720">
        <v>132</v>
      </c>
      <c r="O18" s="441">
        <v>44873</v>
      </c>
      <c r="P18" s="286"/>
      <c r="Q18" s="124"/>
    </row>
    <row r="19" spans="1:18" ht="21" customHeight="1" thickBot="1" x14ac:dyDescent="0.35">
      <c r="A19" s="700"/>
      <c r="B19" s="675"/>
      <c r="C19" s="642"/>
      <c r="D19" s="324"/>
      <c r="E19" s="643"/>
      <c r="F19" s="635"/>
      <c r="G19" s="102"/>
      <c r="H19" s="17" t="s">
        <v>11</v>
      </c>
      <c r="I19" s="53"/>
      <c r="J19" s="127">
        <f>SUM(J13:J18)</f>
        <v>120700</v>
      </c>
      <c r="K19" s="127">
        <f>SUM(K13:K18)</f>
        <v>38500</v>
      </c>
      <c r="L19" s="127">
        <f>SUM(L13:L18)</f>
        <v>3.637978807091713E-12</v>
      </c>
      <c r="M19" s="388"/>
      <c r="N19" s="127">
        <f>SUM(N13:N18)</f>
        <v>128085.73</v>
      </c>
      <c r="O19" s="444"/>
      <c r="P19" s="286"/>
      <c r="Q19" s="124"/>
      <c r="R19" s="539">
        <f>J19-L19-N19</f>
        <v>-7385.7299999999959</v>
      </c>
    </row>
    <row r="20" spans="1:18" ht="31.5" customHeight="1" x14ac:dyDescent="0.3">
      <c r="A20" s="700"/>
      <c r="B20" s="675"/>
      <c r="C20" s="642"/>
      <c r="D20" s="326"/>
      <c r="E20" s="643"/>
      <c r="F20" s="635"/>
      <c r="G20" s="134"/>
      <c r="H20" s="165" t="s">
        <v>60</v>
      </c>
      <c r="I20" s="8"/>
      <c r="J20" s="210"/>
      <c r="K20" s="135"/>
      <c r="L20" s="180"/>
      <c r="M20" s="389"/>
      <c r="N20" s="355"/>
      <c r="O20" s="445"/>
      <c r="P20" s="286"/>
      <c r="Q20" s="124"/>
    </row>
    <row r="21" spans="1:18" ht="21" x14ac:dyDescent="0.3">
      <c r="A21" s="700"/>
      <c r="B21" s="675"/>
      <c r="C21" s="642"/>
      <c r="D21" s="326"/>
      <c r="E21" s="643"/>
      <c r="F21" s="635"/>
      <c r="G21" s="146"/>
      <c r="H21" s="151" t="s">
        <v>77</v>
      </c>
      <c r="I21" s="147"/>
      <c r="J21" s="211"/>
      <c r="K21" s="148"/>
      <c r="L21" s="181"/>
      <c r="M21" s="390"/>
      <c r="N21" s="356"/>
      <c r="O21" s="446"/>
      <c r="P21" s="286"/>
      <c r="Q21" s="124"/>
    </row>
    <row r="22" spans="1:18" ht="21" x14ac:dyDescent="0.3">
      <c r="A22" s="700"/>
      <c r="B22" s="675"/>
      <c r="C22" s="642"/>
      <c r="D22" s="326"/>
      <c r="E22" s="643"/>
      <c r="F22" s="635"/>
      <c r="G22" s="134"/>
      <c r="H22" s="152" t="s">
        <v>125</v>
      </c>
      <c r="I22" s="8"/>
      <c r="J22" s="210"/>
      <c r="K22" s="135"/>
      <c r="L22" s="180"/>
      <c r="M22" s="389"/>
      <c r="N22" s="355"/>
      <c r="O22" s="445"/>
      <c r="P22" s="286"/>
      <c r="Q22" s="124"/>
    </row>
    <row r="23" spans="1:18" ht="80.25" customHeight="1" x14ac:dyDescent="0.3">
      <c r="A23" s="700"/>
      <c r="B23" s="675"/>
      <c r="C23" s="642"/>
      <c r="D23" s="327" t="s">
        <v>23</v>
      </c>
      <c r="E23" s="643"/>
      <c r="F23" s="635"/>
      <c r="G23" s="146" t="s">
        <v>61</v>
      </c>
      <c r="H23" s="25" t="s">
        <v>132</v>
      </c>
      <c r="I23" s="25"/>
      <c r="J23" s="213">
        <v>25000</v>
      </c>
      <c r="K23" s="170"/>
      <c r="L23" s="308">
        <f>15113.46+5103.47+2869.6+924+1050-2869.6-1050-924-7080-8033.46-5103.47</f>
        <v>0</v>
      </c>
      <c r="M23" s="391">
        <v>44665</v>
      </c>
      <c r="N23" s="722">
        <f>2869.6+7080+927+1050+8033.46+5103.47</f>
        <v>25063.530000000002</v>
      </c>
      <c r="O23" s="447">
        <v>44831</v>
      </c>
      <c r="P23" s="286"/>
      <c r="Q23" s="124"/>
      <c r="R23" s="509">
        <f>J23-L23-N23</f>
        <v>-63.530000000002474</v>
      </c>
    </row>
    <row r="24" spans="1:18" ht="39.75" customHeight="1" thickBot="1" x14ac:dyDescent="0.35">
      <c r="A24" s="700"/>
      <c r="B24" s="675"/>
      <c r="C24" s="642"/>
      <c r="D24" s="327"/>
      <c r="E24" s="643"/>
      <c r="F24" s="635"/>
      <c r="G24" s="146"/>
      <c r="H24" s="482" t="s">
        <v>141</v>
      </c>
      <c r="I24" s="25"/>
      <c r="J24" s="213">
        <v>30000</v>
      </c>
      <c r="K24" s="518"/>
      <c r="L24" s="308">
        <f>20047.8+13535.31-10023.9+1320-1320-5041.2-1486.04-810-1295.29-4902.48-10024.2</f>
        <v>0</v>
      </c>
      <c r="M24" s="391">
        <v>44767</v>
      </c>
      <c r="N24" s="722">
        <f>10023.9+1320+5041.2+1486.04+810+1295.29+4902.48+10023.9</f>
        <v>34902.81</v>
      </c>
      <c r="O24" s="447">
        <v>44774</v>
      </c>
      <c r="P24" s="286"/>
      <c r="Q24" s="124"/>
      <c r="R24" s="501">
        <f>J24-L24-N24</f>
        <v>-4902.8099999999977</v>
      </c>
    </row>
    <row r="25" spans="1:18" ht="177" thickBot="1" x14ac:dyDescent="0.35">
      <c r="A25" s="700"/>
      <c r="B25" s="675"/>
      <c r="C25" s="642"/>
      <c r="D25" s="327" t="s">
        <v>23</v>
      </c>
      <c r="E25" s="643"/>
      <c r="F25" s="635"/>
      <c r="G25" s="240" t="s">
        <v>44</v>
      </c>
      <c r="H25" s="149" t="s">
        <v>174</v>
      </c>
      <c r="I25" s="149"/>
      <c r="J25" s="516">
        <v>30000</v>
      </c>
      <c r="K25" s="723">
        <v>9500</v>
      </c>
      <c r="L25" s="517">
        <f>1730.6+1196.8-1196.8-1730.6+11891.2+5364.5+9360+13055.28-9360+165-13804.54+1710+1760-4949.64-4949.64-1578-1578-1760-1710-165</f>
        <v>3451.1600000000035</v>
      </c>
      <c r="M25" s="391">
        <v>44895</v>
      </c>
      <c r="N25" s="722">
        <f>1196.8+1730.6+2202.2+4920+2520+9360+13804.54+4949.64+4949.64+1578+1578+1710+1760+165</f>
        <v>52424.42</v>
      </c>
      <c r="O25" s="447">
        <v>44900</v>
      </c>
      <c r="P25" s="286"/>
      <c r="Q25" s="124"/>
      <c r="R25" s="501">
        <f>J25-L25-N25</f>
        <v>-25875.58</v>
      </c>
    </row>
    <row r="26" spans="1:18" ht="18.600000000000001" thickBot="1" x14ac:dyDescent="0.35">
      <c r="A26" s="700"/>
      <c r="B26" s="675"/>
      <c r="C26" s="642"/>
      <c r="D26" s="327"/>
      <c r="E26" s="643"/>
      <c r="F26" s="635"/>
      <c r="G26" s="240"/>
      <c r="H26" s="479" t="s">
        <v>146</v>
      </c>
      <c r="I26" s="149"/>
      <c r="J26" s="212">
        <v>10000</v>
      </c>
      <c r="K26" s="519"/>
      <c r="L26" s="308"/>
      <c r="M26" s="391"/>
      <c r="N26" s="357"/>
      <c r="O26" s="447"/>
      <c r="P26" s="286"/>
      <c r="Q26" s="124"/>
      <c r="R26" s="502"/>
    </row>
    <row r="27" spans="1:18" ht="21.6" thickBot="1" x14ac:dyDescent="0.35">
      <c r="A27" s="700"/>
      <c r="B27" s="675"/>
      <c r="C27" s="642"/>
      <c r="D27" s="326"/>
      <c r="E27" s="643"/>
      <c r="F27" s="635"/>
      <c r="G27" s="134"/>
      <c r="H27" s="18" t="s">
        <v>12</v>
      </c>
      <c r="I27" s="19"/>
      <c r="J27" s="127">
        <f>SUM(J23:J26)</f>
        <v>95000</v>
      </c>
      <c r="K27" s="127">
        <f>SUM(K23:K25)</f>
        <v>9500</v>
      </c>
      <c r="L27" s="127">
        <f>SUM(L23:L25)</f>
        <v>3451.1600000000035</v>
      </c>
      <c r="M27" s="388"/>
      <c r="N27" s="127">
        <f>SUM(N23:N25)</f>
        <v>112390.76</v>
      </c>
      <c r="O27" s="448"/>
      <c r="P27" s="286"/>
      <c r="Q27" s="124"/>
      <c r="R27" s="503">
        <f>J27-L27-N27</f>
        <v>-20841.919999999998</v>
      </c>
    </row>
    <row r="28" spans="1:18" ht="21" customHeight="1" x14ac:dyDescent="0.3">
      <c r="A28" s="700"/>
      <c r="B28" s="675"/>
      <c r="C28" s="642"/>
      <c r="D28" s="328"/>
      <c r="E28" s="644"/>
      <c r="F28" s="635"/>
      <c r="G28" s="241"/>
      <c r="H28" s="166" t="s">
        <v>71</v>
      </c>
      <c r="I28" s="53"/>
      <c r="J28" s="214"/>
      <c r="K28" s="104"/>
      <c r="L28" s="176"/>
      <c r="M28" s="393"/>
      <c r="N28" s="358"/>
      <c r="O28" s="449"/>
      <c r="P28" s="286"/>
      <c r="Q28" s="124"/>
    </row>
    <row r="29" spans="1:18" ht="78" customHeight="1" thickBot="1" x14ac:dyDescent="0.4">
      <c r="A29" s="700"/>
      <c r="B29" s="675"/>
      <c r="C29" s="642"/>
      <c r="D29" s="324"/>
      <c r="E29" s="644"/>
      <c r="F29" s="635"/>
      <c r="G29" s="305" t="s">
        <v>14</v>
      </c>
      <c r="H29" s="481" t="s">
        <v>165</v>
      </c>
      <c r="I29" s="65"/>
      <c r="J29" s="215"/>
      <c r="K29" s="105"/>
      <c r="L29" s="173">
        <f>24000-480+840-23520-840</f>
        <v>0</v>
      </c>
      <c r="M29" s="385">
        <v>44627</v>
      </c>
      <c r="N29" s="720">
        <f>480+23520+840</f>
        <v>24840</v>
      </c>
      <c r="O29" s="441">
        <v>44896</v>
      </c>
      <c r="P29" s="286"/>
      <c r="Q29" s="124"/>
    </row>
    <row r="30" spans="1:18" ht="21.6" thickBot="1" x14ac:dyDescent="0.35">
      <c r="A30" s="700"/>
      <c r="B30" s="675"/>
      <c r="C30" s="642"/>
      <c r="D30" s="324"/>
      <c r="E30" s="644"/>
      <c r="F30" s="635"/>
      <c r="G30" s="305"/>
      <c r="H30" s="66" t="s">
        <v>11</v>
      </c>
      <c r="I30" s="65"/>
      <c r="J30" s="126">
        <v>25000</v>
      </c>
      <c r="K30" s="126">
        <f>SUM(K29)</f>
        <v>0</v>
      </c>
      <c r="L30" s="126">
        <f>SUM(L29)</f>
        <v>0</v>
      </c>
      <c r="M30" s="394"/>
      <c r="N30" s="126">
        <f>SUM(N29)</f>
        <v>24840</v>
      </c>
      <c r="O30" s="450"/>
      <c r="P30" s="286"/>
      <c r="Q30" s="124"/>
      <c r="R30" s="500">
        <f>J30-L30-N30</f>
        <v>160</v>
      </c>
    </row>
    <row r="31" spans="1:18" ht="21" customHeight="1" x14ac:dyDescent="0.3">
      <c r="A31" s="700"/>
      <c r="B31" s="675"/>
      <c r="C31" s="642"/>
      <c r="D31" s="328"/>
      <c r="E31" s="644"/>
      <c r="F31" s="635"/>
      <c r="G31" s="241"/>
      <c r="H31" s="58" t="s">
        <v>62</v>
      </c>
      <c r="I31" s="53"/>
      <c r="J31" s="214"/>
      <c r="K31" s="104"/>
      <c r="L31" s="176"/>
      <c r="M31" s="393"/>
      <c r="N31" s="358"/>
      <c r="O31" s="449"/>
      <c r="P31" s="287"/>
      <c r="Q31" s="124"/>
    </row>
    <row r="32" spans="1:18" ht="59.25" customHeight="1" x14ac:dyDescent="0.3">
      <c r="A32" s="700"/>
      <c r="B32" s="675"/>
      <c r="C32" s="642"/>
      <c r="D32" s="653" t="s">
        <v>55</v>
      </c>
      <c r="E32" s="644"/>
      <c r="F32" s="635"/>
      <c r="G32" s="134" t="s">
        <v>15</v>
      </c>
      <c r="H32" s="68" t="s">
        <v>152</v>
      </c>
      <c r="I32" s="69"/>
      <c r="J32" s="647">
        <v>9500</v>
      </c>
      <c r="K32" s="154"/>
      <c r="L32" s="70">
        <f>616-616+1440-1440</f>
        <v>0</v>
      </c>
      <c r="M32" s="395">
        <v>44832</v>
      </c>
      <c r="N32" s="724">
        <f>7480+375+616+1140</f>
        <v>9611</v>
      </c>
      <c r="O32" s="451">
        <v>44846</v>
      </c>
      <c r="P32" s="287"/>
      <c r="Q32" s="124"/>
    </row>
    <row r="33" spans="1:18" ht="18" x14ac:dyDescent="0.3">
      <c r="A33" s="700"/>
      <c r="B33" s="675"/>
      <c r="C33" s="642"/>
      <c r="D33" s="654"/>
      <c r="E33" s="644"/>
      <c r="F33" s="635"/>
      <c r="G33" s="134"/>
      <c r="H33" s="68" t="s">
        <v>123</v>
      </c>
      <c r="I33" s="69"/>
      <c r="J33" s="648"/>
      <c r="K33" s="154"/>
      <c r="L33" s="70"/>
      <c r="M33" s="395">
        <v>44613</v>
      </c>
      <c r="N33" s="724">
        <v>160</v>
      </c>
      <c r="O33" s="451">
        <v>44628</v>
      </c>
      <c r="P33" s="287"/>
      <c r="Q33" s="124"/>
    </row>
    <row r="34" spans="1:18" ht="46.8" x14ac:dyDescent="0.3">
      <c r="A34" s="700"/>
      <c r="B34" s="675"/>
      <c r="C34" s="642"/>
      <c r="D34" s="654"/>
      <c r="E34" s="644"/>
      <c r="F34" s="635"/>
      <c r="G34" s="134"/>
      <c r="H34" s="68" t="s">
        <v>162</v>
      </c>
      <c r="I34" s="69"/>
      <c r="J34" s="216">
        <v>4000</v>
      </c>
      <c r="K34" s="70"/>
      <c r="L34" s="70"/>
      <c r="M34" s="483">
        <v>44858</v>
      </c>
      <c r="N34" s="724">
        <f>3000+145.74+120+1100</f>
        <v>4365.74</v>
      </c>
      <c r="O34" s="451">
        <v>44886</v>
      </c>
      <c r="P34" s="287"/>
      <c r="Q34" s="124"/>
    </row>
    <row r="35" spans="1:18" ht="45.75" customHeight="1" x14ac:dyDescent="0.3">
      <c r="A35" s="700"/>
      <c r="B35" s="675"/>
      <c r="C35" s="642"/>
      <c r="D35" s="654"/>
      <c r="E35" s="644"/>
      <c r="F35" s="635"/>
      <c r="G35" s="134" t="s">
        <v>15</v>
      </c>
      <c r="H35" s="68" t="s">
        <v>145</v>
      </c>
      <c r="I35" s="69"/>
      <c r="J35" s="216">
        <v>4000</v>
      </c>
      <c r="K35" s="143"/>
      <c r="L35" s="173"/>
      <c r="M35" s="385">
        <v>44809</v>
      </c>
      <c r="N35" s="720">
        <v>3409.2</v>
      </c>
      <c r="O35" s="441">
        <v>44846</v>
      </c>
      <c r="P35" s="287"/>
      <c r="Q35" s="124"/>
    </row>
    <row r="36" spans="1:18" ht="63" customHeight="1" thickBot="1" x14ac:dyDescent="0.35">
      <c r="A36" s="700"/>
      <c r="B36" s="675"/>
      <c r="C36" s="642"/>
      <c r="D36" s="655"/>
      <c r="E36" s="644"/>
      <c r="F36" s="635"/>
      <c r="G36" s="134" t="s">
        <v>14</v>
      </c>
      <c r="H36" s="68" t="s">
        <v>136</v>
      </c>
      <c r="I36" s="69"/>
      <c r="J36" s="209">
        <v>7500</v>
      </c>
      <c r="K36" s="143"/>
      <c r="L36" s="173">
        <f>1500-1500</f>
        <v>0</v>
      </c>
      <c r="M36" s="385">
        <v>44739</v>
      </c>
      <c r="N36" s="720">
        <f>3861+1500</f>
        <v>5361</v>
      </c>
      <c r="O36" s="441">
        <v>44753</v>
      </c>
      <c r="P36" s="286"/>
      <c r="Q36" s="124"/>
    </row>
    <row r="37" spans="1:18" ht="21.75" customHeight="1" thickBot="1" x14ac:dyDescent="0.35">
      <c r="A37" s="700"/>
      <c r="B37" s="675"/>
      <c r="C37" s="642"/>
      <c r="D37" s="324"/>
      <c r="E37" s="644"/>
      <c r="F37" s="635"/>
      <c r="G37" s="241"/>
      <c r="H37" s="17" t="s">
        <v>12</v>
      </c>
      <c r="I37" s="53"/>
      <c r="J37" s="126">
        <f>SUM(J32:J36)</f>
        <v>25000</v>
      </c>
      <c r="K37" s="126">
        <f>SUM(K32:K36)</f>
        <v>0</v>
      </c>
      <c r="L37" s="126">
        <f>SUM(L32:L36)</f>
        <v>0</v>
      </c>
      <c r="M37" s="394"/>
      <c r="N37" s="126">
        <f>SUM(N32:N36)</f>
        <v>22906.94</v>
      </c>
      <c r="O37" s="394"/>
      <c r="P37" s="286"/>
      <c r="Q37" s="124"/>
      <c r="R37" s="500">
        <f>J37-L37-N37</f>
        <v>2093.0600000000013</v>
      </c>
    </row>
    <row r="38" spans="1:18" ht="21" customHeight="1" x14ac:dyDescent="0.3">
      <c r="A38" s="700"/>
      <c r="B38" s="675"/>
      <c r="C38" s="642"/>
      <c r="D38" s="328"/>
      <c r="E38" s="644"/>
      <c r="F38" s="635"/>
      <c r="G38" s="241"/>
      <c r="H38" s="58" t="s">
        <v>63</v>
      </c>
      <c r="I38" s="53"/>
      <c r="J38" s="214"/>
      <c r="K38" s="104"/>
      <c r="L38" s="176"/>
      <c r="M38" s="393"/>
      <c r="N38" s="358"/>
      <c r="O38" s="449"/>
      <c r="P38" s="286"/>
      <c r="Q38" s="124"/>
    </row>
    <row r="39" spans="1:18" ht="33" customHeight="1" x14ac:dyDescent="0.3">
      <c r="A39" s="700"/>
      <c r="B39" s="675"/>
      <c r="C39" s="642"/>
      <c r="D39" s="656"/>
      <c r="E39" s="644"/>
      <c r="F39" s="635"/>
      <c r="G39" s="134" t="s">
        <v>14</v>
      </c>
      <c r="H39" s="68" t="s">
        <v>157</v>
      </c>
      <c r="I39" s="69"/>
      <c r="J39" s="647">
        <v>10000</v>
      </c>
      <c r="K39" s="727">
        <v>1000</v>
      </c>
      <c r="L39" s="173"/>
      <c r="M39" s="385"/>
      <c r="N39" s="353"/>
      <c r="O39" s="441"/>
      <c r="P39" s="286"/>
      <c r="Q39" s="124"/>
    </row>
    <row r="40" spans="1:18" ht="111" customHeight="1" thickBot="1" x14ac:dyDescent="0.35">
      <c r="A40" s="700"/>
      <c r="B40" s="675"/>
      <c r="C40" s="642"/>
      <c r="D40" s="657"/>
      <c r="E40" s="644"/>
      <c r="F40" s="635"/>
      <c r="G40" s="134" t="s">
        <v>14</v>
      </c>
      <c r="H40" s="68" t="s">
        <v>180</v>
      </c>
      <c r="I40" s="142"/>
      <c r="J40" s="648"/>
      <c r="K40" s="728"/>
      <c r="L40" s="530">
        <f>2900+8772-2900+660+330-660-330-8772+1500+180+2010-2010-1500-180+4632</f>
        <v>4632</v>
      </c>
      <c r="M40" s="529">
        <v>44900</v>
      </c>
      <c r="N40" s="725">
        <f>2900+660+180+330+8772+2010+1500+180</f>
        <v>16532</v>
      </c>
      <c r="O40" s="452">
        <v>44881</v>
      </c>
      <c r="P40" s="286"/>
      <c r="Q40" s="124"/>
    </row>
    <row r="41" spans="1:18" ht="21.75" customHeight="1" thickBot="1" x14ac:dyDescent="0.35">
      <c r="A41" s="700"/>
      <c r="B41" s="675"/>
      <c r="C41" s="642"/>
      <c r="D41" s="324"/>
      <c r="E41" s="644"/>
      <c r="F41" s="635"/>
      <c r="G41" s="241"/>
      <c r="H41" s="17" t="s">
        <v>11</v>
      </c>
      <c r="I41" s="53"/>
      <c r="J41" s="126">
        <f>SUM(J39:J39)</f>
        <v>10000</v>
      </c>
      <c r="K41" s="126">
        <f>SUM(K39:K39)</f>
        <v>1000</v>
      </c>
      <c r="L41" s="126">
        <f>SUM(L39:L40)</f>
        <v>4632</v>
      </c>
      <c r="M41" s="394"/>
      <c r="N41" s="126">
        <f>SUM(N39:N40)</f>
        <v>16532</v>
      </c>
      <c r="O41" s="453"/>
      <c r="P41" s="286"/>
      <c r="Q41" s="124"/>
      <c r="R41" s="503">
        <f>J41-L41-N41</f>
        <v>-11164</v>
      </c>
    </row>
    <row r="42" spans="1:18" ht="21" x14ac:dyDescent="0.3">
      <c r="A42" s="700"/>
      <c r="B42" s="675"/>
      <c r="C42" s="642"/>
      <c r="D42" s="328"/>
      <c r="E42" s="644"/>
      <c r="F42" s="635"/>
      <c r="G42" s="241"/>
      <c r="H42" s="58" t="s">
        <v>29</v>
      </c>
      <c r="I42" s="53"/>
      <c r="J42" s="217"/>
      <c r="K42" s="104"/>
      <c r="L42" s="176"/>
      <c r="M42" s="393"/>
      <c r="N42" s="358"/>
      <c r="O42" s="449"/>
      <c r="P42" s="286"/>
      <c r="Q42" s="124"/>
    </row>
    <row r="43" spans="1:18" ht="18" x14ac:dyDescent="0.3">
      <c r="A43" s="700"/>
      <c r="B43" s="675"/>
      <c r="C43" s="642"/>
      <c r="D43" s="328"/>
      <c r="E43" s="644"/>
      <c r="F43" s="635"/>
      <c r="G43" s="241"/>
      <c r="H43" s="12"/>
      <c r="I43" s="53"/>
      <c r="J43" s="209"/>
      <c r="K43" s="105"/>
      <c r="L43" s="179"/>
      <c r="M43" s="396"/>
      <c r="N43" s="359"/>
      <c r="O43" s="441"/>
      <c r="P43" s="286"/>
      <c r="Q43" s="124"/>
    </row>
    <row r="44" spans="1:18" ht="39" customHeight="1" thickBot="1" x14ac:dyDescent="0.35">
      <c r="A44" s="700"/>
      <c r="B44" s="675"/>
      <c r="C44" s="642"/>
      <c r="D44" s="637" t="s">
        <v>23</v>
      </c>
      <c r="E44" s="644"/>
      <c r="F44" s="635"/>
      <c r="G44" s="241" t="s">
        <v>88</v>
      </c>
      <c r="H44" s="12" t="s">
        <v>166</v>
      </c>
      <c r="I44" s="53"/>
      <c r="J44" s="209">
        <v>5000</v>
      </c>
      <c r="K44" s="105"/>
      <c r="L44" s="173"/>
      <c r="M44" s="385">
        <v>44700</v>
      </c>
      <c r="N44" s="720">
        <f>2322+500+2415.6</f>
        <v>5237.6000000000004</v>
      </c>
      <c r="O44" s="441">
        <v>44832</v>
      </c>
      <c r="P44" s="286"/>
      <c r="Q44" s="124"/>
    </row>
    <row r="45" spans="1:18" ht="21.6" thickBot="1" x14ac:dyDescent="0.35">
      <c r="A45" s="700"/>
      <c r="B45" s="675"/>
      <c r="C45" s="642"/>
      <c r="D45" s="638"/>
      <c r="E45" s="644"/>
      <c r="F45" s="635"/>
      <c r="G45" s="241"/>
      <c r="H45" s="130" t="s">
        <v>11</v>
      </c>
      <c r="I45" s="60"/>
      <c r="J45" s="379">
        <f>SUM(J43:J44)</f>
        <v>5000</v>
      </c>
      <c r="K45" s="379">
        <f>SUM(K43:K44)</f>
        <v>0</v>
      </c>
      <c r="L45" s="379">
        <f>SUM(L43:L44)</f>
        <v>0</v>
      </c>
      <c r="M45" s="397"/>
      <c r="N45" s="379">
        <f>SUM(N43:N44)</f>
        <v>5237.6000000000004</v>
      </c>
      <c r="O45" s="454"/>
      <c r="P45" s="286"/>
      <c r="Q45" s="124"/>
      <c r="R45" s="503">
        <f>J45-L45-N45</f>
        <v>-237.60000000000036</v>
      </c>
    </row>
    <row r="46" spans="1:18" ht="30.75" customHeight="1" x14ac:dyDescent="0.3">
      <c r="A46" s="700"/>
      <c r="B46" s="675"/>
      <c r="C46" s="642"/>
      <c r="D46" s="324"/>
      <c r="E46" s="645"/>
      <c r="F46" s="635"/>
      <c r="G46" s="102"/>
      <c r="H46" s="56" t="s">
        <v>64</v>
      </c>
      <c r="I46" s="57"/>
      <c r="J46" s="218"/>
      <c r="K46" s="106"/>
      <c r="L46" s="182"/>
      <c r="M46" s="398"/>
      <c r="N46" s="360"/>
      <c r="O46" s="455"/>
      <c r="P46" s="286"/>
      <c r="Q46" s="124"/>
    </row>
    <row r="47" spans="1:18" ht="156" customHeight="1" thickBot="1" x14ac:dyDescent="0.35">
      <c r="A47" s="700"/>
      <c r="B47" s="675"/>
      <c r="C47" s="307"/>
      <c r="D47" s="328" t="s">
        <v>85</v>
      </c>
      <c r="E47" s="242"/>
      <c r="F47" s="635"/>
      <c r="G47" s="243" t="s">
        <v>89</v>
      </c>
      <c r="H47" s="68" t="s">
        <v>172</v>
      </c>
      <c r="I47" s="69"/>
      <c r="J47" s="209">
        <v>15000</v>
      </c>
      <c r="K47" s="153"/>
      <c r="L47" s="201">
        <f>1137.6+2760+2160+6000+2700+1998.6+5760+1440-1998.6-6000-2160-1137.6-2760+4560-4560-2700-5760-1440+159.6-159.6</f>
        <v>1.8189894035458565E-12</v>
      </c>
      <c r="M47" s="399">
        <v>44893</v>
      </c>
      <c r="N47" s="726">
        <f xml:space="preserve"> 1998.6+6000+2160+165.6+373.2+1137.6+2760+805.14+4560+2700+5760+1440+274.9+159.6</f>
        <v>30294.639999999999</v>
      </c>
      <c r="O47" s="456">
        <v>44900</v>
      </c>
      <c r="P47" s="286"/>
      <c r="Q47" s="124"/>
    </row>
    <row r="48" spans="1:18" ht="30.75" customHeight="1" thickBot="1" x14ac:dyDescent="0.35">
      <c r="A48" s="700"/>
      <c r="B48" s="675"/>
      <c r="C48" s="307"/>
      <c r="D48" s="328"/>
      <c r="E48" s="242"/>
      <c r="F48" s="636"/>
      <c r="G48" s="241"/>
      <c r="H48" s="17" t="s">
        <v>11</v>
      </c>
      <c r="I48" s="53"/>
      <c r="J48" s="126">
        <f>SUM(J47:J47)</f>
        <v>15000</v>
      </c>
      <c r="K48" s="126">
        <f>SUM(K47:K47)</f>
        <v>0</v>
      </c>
      <c r="L48" s="126">
        <f>SUM(L47:L47)</f>
        <v>1.8189894035458565E-12</v>
      </c>
      <c r="M48" s="394"/>
      <c r="N48" s="126">
        <f>SUM(N47:N47)</f>
        <v>30294.639999999999</v>
      </c>
      <c r="O48" s="444"/>
      <c r="P48" s="286"/>
      <c r="Q48" s="124"/>
      <c r="R48" s="503">
        <f>J48-L48-N48</f>
        <v>-15294.640000000001</v>
      </c>
    </row>
    <row r="49" spans="1:18" ht="69" customHeight="1" thickBot="1" x14ac:dyDescent="0.35">
      <c r="A49" s="700"/>
      <c r="B49" s="675"/>
      <c r="C49" s="639" t="s">
        <v>65</v>
      </c>
      <c r="D49" s="640"/>
      <c r="E49" s="641"/>
      <c r="F49" s="641"/>
      <c r="G49" s="641"/>
      <c r="H49" s="641"/>
      <c r="I49" s="252">
        <f>SUM(I28:I46)</f>
        <v>0</v>
      </c>
      <c r="J49" s="253">
        <f>J48+J45+J41+J37+J30+J27+J19</f>
        <v>295700</v>
      </c>
      <c r="K49" s="484">
        <f>K48+K45+K41+K37+K30+K27+K19</f>
        <v>49000</v>
      </c>
      <c r="L49" s="253">
        <f>L48+L45+L41+L37+L30+L27+L19</f>
        <v>8083.1600000000089</v>
      </c>
      <c r="M49" s="400"/>
      <c r="N49" s="253">
        <f>N48+N45+N41+N37+N30+N27+N19</f>
        <v>340287.67</v>
      </c>
      <c r="O49" s="457"/>
      <c r="P49" s="286"/>
      <c r="Q49" s="124"/>
      <c r="R49" s="527">
        <f>J49-L49-N49</f>
        <v>-52670.830000000016</v>
      </c>
    </row>
    <row r="50" spans="1:18" ht="14.25" customHeight="1" thickTop="1" thickBot="1" x14ac:dyDescent="0.35">
      <c r="A50" s="700"/>
      <c r="B50" s="675"/>
      <c r="C50" s="13"/>
      <c r="D50" s="329"/>
      <c r="E50" s="22"/>
      <c r="F50" s="22"/>
      <c r="G50" s="46"/>
      <c r="H50" s="13"/>
      <c r="I50" s="14"/>
      <c r="J50" s="204"/>
      <c r="K50" s="108"/>
      <c r="L50" s="183"/>
      <c r="M50" s="401"/>
      <c r="N50" s="183"/>
      <c r="O50" s="458"/>
      <c r="P50" s="286"/>
      <c r="Q50" s="124"/>
    </row>
    <row r="51" spans="1:18" s="3" customFormat="1" ht="36" customHeight="1" thickTop="1" thickBot="1" x14ac:dyDescent="0.35">
      <c r="A51" s="700"/>
      <c r="B51" s="675"/>
      <c r="C51" s="711"/>
      <c r="D51" s="330" t="s">
        <v>78</v>
      </c>
      <c r="E51" s="254" t="s">
        <v>79</v>
      </c>
      <c r="F51" s="254" t="s">
        <v>4</v>
      </c>
      <c r="G51" s="254" t="s">
        <v>80</v>
      </c>
      <c r="H51" s="625" t="s">
        <v>35</v>
      </c>
      <c r="I51" s="626"/>
      <c r="J51" s="626"/>
      <c r="K51" s="626"/>
      <c r="L51" s="626"/>
      <c r="M51" s="626"/>
      <c r="N51" s="626"/>
      <c r="O51" s="627"/>
      <c r="P51" s="286"/>
      <c r="Q51" s="124"/>
      <c r="R51" s="495"/>
    </row>
    <row r="52" spans="1:18" ht="21" customHeight="1" x14ac:dyDescent="0.3">
      <c r="A52" s="700"/>
      <c r="B52" s="675"/>
      <c r="C52" s="712"/>
      <c r="D52" s="331"/>
      <c r="E52" s="686" t="s">
        <v>25</v>
      </c>
      <c r="F52" s="676" t="s">
        <v>105</v>
      </c>
      <c r="G52" s="87"/>
      <c r="H52" s="167" t="s">
        <v>17</v>
      </c>
      <c r="I52" s="26"/>
      <c r="J52" s="219"/>
      <c r="K52" s="109"/>
      <c r="L52" s="184"/>
      <c r="M52" s="402"/>
      <c r="N52" s="361"/>
      <c r="O52" s="459"/>
      <c r="P52" s="286"/>
      <c r="Q52" s="124"/>
    </row>
    <row r="53" spans="1:18" ht="45" customHeight="1" x14ac:dyDescent="0.3">
      <c r="A53" s="700"/>
      <c r="B53" s="675"/>
      <c r="C53" s="712"/>
      <c r="D53" s="646" t="s">
        <v>22</v>
      </c>
      <c r="E53" s="687"/>
      <c r="F53" s="677"/>
      <c r="G53" s="290" t="s">
        <v>14</v>
      </c>
      <c r="H53" s="155" t="s">
        <v>18</v>
      </c>
      <c r="I53" s="150"/>
      <c r="J53" s="220">
        <v>8000</v>
      </c>
      <c r="K53" s="156"/>
      <c r="L53" s="185">
        <f>8040-2010-2010-2010-2010</f>
        <v>0</v>
      </c>
      <c r="M53" s="392">
        <v>44567</v>
      </c>
      <c r="N53" s="729">
        <f>2010+2010+2010+2010</f>
        <v>8040</v>
      </c>
      <c r="O53" s="439">
        <v>44810</v>
      </c>
      <c r="P53" s="286"/>
      <c r="Q53" s="124"/>
    </row>
    <row r="54" spans="1:18" ht="18" x14ac:dyDescent="0.3">
      <c r="A54" s="700"/>
      <c r="B54" s="675"/>
      <c r="C54" s="712"/>
      <c r="D54" s="646"/>
      <c r="E54" s="687"/>
      <c r="F54" s="677"/>
      <c r="G54" s="290" t="s">
        <v>14</v>
      </c>
      <c r="H54" s="150" t="s">
        <v>76</v>
      </c>
      <c r="I54" s="150"/>
      <c r="J54" s="220">
        <v>1500</v>
      </c>
      <c r="K54" s="156"/>
      <c r="L54" s="185"/>
      <c r="M54" s="392"/>
      <c r="N54" s="729">
        <f>47.95+46.8+527.5+119.88+23.98+228+11.99+24+239.76+53.95</f>
        <v>1323.81</v>
      </c>
      <c r="O54" s="439">
        <v>44855</v>
      </c>
      <c r="P54" s="286"/>
      <c r="Q54" s="124"/>
    </row>
    <row r="55" spans="1:18" ht="27" customHeight="1" x14ac:dyDescent="0.3">
      <c r="A55" s="700"/>
      <c r="B55" s="675"/>
      <c r="C55" s="712"/>
      <c r="D55" s="322" t="s">
        <v>23</v>
      </c>
      <c r="E55" s="687"/>
      <c r="F55" s="677"/>
      <c r="G55" s="290" t="s">
        <v>14</v>
      </c>
      <c r="H55" s="150" t="s">
        <v>75</v>
      </c>
      <c r="I55" s="150"/>
      <c r="J55" s="220">
        <f>6000-3000</f>
        <v>3000</v>
      </c>
      <c r="K55" s="156"/>
      <c r="L55" s="185">
        <f>2736-2736</f>
        <v>0</v>
      </c>
      <c r="M55" s="392">
        <v>44613</v>
      </c>
      <c r="N55" s="729">
        <f>172.8+2736</f>
        <v>2908.8</v>
      </c>
      <c r="O55" s="439">
        <v>44739</v>
      </c>
      <c r="P55" s="286"/>
      <c r="Q55" s="124"/>
    </row>
    <row r="56" spans="1:18" ht="25.2" thickBot="1" x14ac:dyDescent="0.35">
      <c r="A56" s="700"/>
      <c r="B56" s="675"/>
      <c r="C56" s="712"/>
      <c r="D56" s="322" t="s">
        <v>24</v>
      </c>
      <c r="E56" s="687"/>
      <c r="F56" s="677"/>
      <c r="G56" s="290" t="s">
        <v>14</v>
      </c>
      <c r="H56" s="200" t="s">
        <v>143</v>
      </c>
      <c r="I56" s="150"/>
      <c r="J56" s="220">
        <f>2000+1000</f>
        <v>3000</v>
      </c>
      <c r="K56" s="156"/>
      <c r="L56" s="185"/>
      <c r="M56" s="392">
        <v>44768</v>
      </c>
      <c r="N56" s="729">
        <v>2880</v>
      </c>
      <c r="O56" s="439">
        <v>44810</v>
      </c>
      <c r="P56" s="286"/>
      <c r="Q56" s="124"/>
    </row>
    <row r="57" spans="1:18" ht="21.6" thickBot="1" x14ac:dyDescent="0.35">
      <c r="A57" s="700"/>
      <c r="B57" s="675"/>
      <c r="C57" s="712"/>
      <c r="D57" s="322"/>
      <c r="E57" s="687"/>
      <c r="F57" s="677"/>
      <c r="G57" s="88"/>
      <c r="H57" s="18" t="s">
        <v>12</v>
      </c>
      <c r="I57" s="19"/>
      <c r="J57" s="126">
        <f>SUM(J53:J56)</f>
        <v>15500</v>
      </c>
      <c r="K57" s="126">
        <f>SUM(K53:K56)</f>
        <v>0</v>
      </c>
      <c r="L57" s="126">
        <f>SUM(L53:L56)</f>
        <v>0</v>
      </c>
      <c r="M57" s="394"/>
      <c r="N57" s="126">
        <f>SUM(N53:N56)</f>
        <v>15152.61</v>
      </c>
      <c r="O57" s="460"/>
      <c r="P57" s="286"/>
      <c r="Q57" s="124"/>
      <c r="R57" s="499">
        <f>J57-L57-N57</f>
        <v>347.38999999999942</v>
      </c>
    </row>
    <row r="58" spans="1:18" ht="46.8" x14ac:dyDescent="0.3">
      <c r="A58" s="700"/>
      <c r="B58" s="675"/>
      <c r="C58" s="712"/>
      <c r="D58" s="322"/>
      <c r="E58" s="687"/>
      <c r="F58" s="677"/>
      <c r="G58" s="88"/>
      <c r="H58" s="168" t="s">
        <v>164</v>
      </c>
      <c r="I58" s="7"/>
      <c r="J58" s="221"/>
      <c r="K58" s="110"/>
      <c r="L58" s="186"/>
      <c r="M58" s="403"/>
      <c r="N58" s="363"/>
      <c r="O58" s="461"/>
      <c r="P58" s="286"/>
      <c r="Q58" s="124"/>
    </row>
    <row r="59" spans="1:18" ht="49.5" customHeight="1" x14ac:dyDescent="0.3">
      <c r="A59" s="700"/>
      <c r="B59" s="675"/>
      <c r="C59" s="712"/>
      <c r="D59" s="322"/>
      <c r="E59" s="687"/>
      <c r="F59" s="677"/>
      <c r="G59" s="291"/>
      <c r="H59" s="150" t="s">
        <v>116</v>
      </c>
      <c r="I59" s="150"/>
      <c r="J59" s="437">
        <v>2500</v>
      </c>
      <c r="K59" s="156"/>
      <c r="L59" s="185"/>
      <c r="M59" s="392"/>
      <c r="N59" s="362"/>
      <c r="O59" s="439"/>
      <c r="P59" s="286"/>
      <c r="Q59" s="124"/>
    </row>
    <row r="60" spans="1:18" ht="46.5" customHeight="1" x14ac:dyDescent="0.3">
      <c r="A60" s="700"/>
      <c r="B60" s="675"/>
      <c r="C60" s="712"/>
      <c r="D60" s="322"/>
      <c r="E60" s="687"/>
      <c r="F60" s="677"/>
      <c r="G60" s="291"/>
      <c r="H60" s="150" t="s">
        <v>117</v>
      </c>
      <c r="I60" s="150"/>
      <c r="J60" s="220">
        <v>2500</v>
      </c>
      <c r="K60" s="156"/>
      <c r="L60" s="185">
        <f>2287.5-2287.5</f>
        <v>0</v>
      </c>
      <c r="M60" s="392">
        <v>44810</v>
      </c>
      <c r="N60" s="729">
        <v>2287.5</v>
      </c>
      <c r="O60" s="439">
        <v>44853</v>
      </c>
      <c r="P60" s="286"/>
      <c r="Q60" s="124"/>
    </row>
    <row r="61" spans="1:18" ht="47.25" customHeight="1" thickBot="1" x14ac:dyDescent="0.35">
      <c r="A61" s="700"/>
      <c r="B61" s="675"/>
      <c r="C61" s="712"/>
      <c r="D61" s="322"/>
      <c r="E61" s="687"/>
      <c r="F61" s="677"/>
      <c r="G61" s="291"/>
      <c r="H61" s="150" t="s">
        <v>176</v>
      </c>
      <c r="I61" s="150"/>
      <c r="J61" s="437">
        <f>1500-800-200</f>
        <v>500</v>
      </c>
      <c r="K61" s="156"/>
      <c r="L61" s="185">
        <f>10200-4080-6120</f>
        <v>0</v>
      </c>
      <c r="M61" s="392">
        <v>44880</v>
      </c>
      <c r="N61" s="729">
        <f>4080+6120</f>
        <v>10200</v>
      </c>
      <c r="O61" s="439">
        <v>44895</v>
      </c>
      <c r="P61" s="286"/>
      <c r="Q61" s="124"/>
    </row>
    <row r="62" spans="1:18" ht="21.6" thickBot="1" x14ac:dyDescent="0.35">
      <c r="A62" s="700"/>
      <c r="B62" s="675"/>
      <c r="C62" s="712"/>
      <c r="D62" s="322"/>
      <c r="E62" s="687"/>
      <c r="F62" s="677"/>
      <c r="G62" s="88"/>
      <c r="H62" s="18" t="s">
        <v>12</v>
      </c>
      <c r="I62" s="19"/>
      <c r="J62" s="126">
        <f>SUM(J59:J61)</f>
        <v>5500</v>
      </c>
      <c r="K62" s="126">
        <f>SUM(K59:K61)</f>
        <v>0</v>
      </c>
      <c r="L62" s="126">
        <f>SUM(L59:L61)</f>
        <v>0</v>
      </c>
      <c r="M62" s="394"/>
      <c r="N62" s="126">
        <f>SUM(N59:N61)</f>
        <v>12487.5</v>
      </c>
      <c r="O62" s="460"/>
      <c r="P62" s="286"/>
      <c r="Q62" s="124"/>
      <c r="R62" s="503">
        <f>J62-L62-N62</f>
        <v>-6987.5</v>
      </c>
    </row>
    <row r="63" spans="1:18" ht="18.600000000000001" thickBot="1" x14ac:dyDescent="0.35">
      <c r="A63" s="700"/>
      <c r="B63" s="675"/>
      <c r="C63" s="712"/>
      <c r="D63" s="322"/>
      <c r="E63" s="688"/>
      <c r="F63" s="677"/>
      <c r="G63" s="292"/>
      <c r="H63" s="25"/>
      <c r="I63" s="25"/>
      <c r="J63" s="213"/>
      <c r="K63" s="111"/>
      <c r="L63" s="187"/>
      <c r="M63" s="404"/>
      <c r="N63" s="364"/>
      <c r="O63" s="462"/>
      <c r="P63" s="286"/>
      <c r="Q63" s="124"/>
    </row>
    <row r="64" spans="1:18" ht="45" customHeight="1" thickBot="1" x14ac:dyDescent="0.35">
      <c r="A64" s="700"/>
      <c r="B64" s="675"/>
      <c r="C64" s="713"/>
      <c r="D64" s="603" t="s">
        <v>66</v>
      </c>
      <c r="E64" s="604"/>
      <c r="F64" s="604"/>
      <c r="G64" s="604"/>
      <c r="H64" s="604"/>
      <c r="I64" s="255"/>
      <c r="J64" s="256">
        <f>J57+J62</f>
        <v>21000</v>
      </c>
      <c r="K64" s="256">
        <f>K57+K62</f>
        <v>0</v>
      </c>
      <c r="L64" s="256">
        <f>L57+L62</f>
        <v>0</v>
      </c>
      <c r="M64" s="405"/>
      <c r="N64" s="256">
        <f>N57+N62</f>
        <v>27640.11</v>
      </c>
      <c r="O64" s="463"/>
      <c r="P64" s="286"/>
      <c r="Q64" s="124"/>
      <c r="R64" s="536">
        <f>J64-L64-N64</f>
        <v>-6640.1100000000006</v>
      </c>
    </row>
    <row r="65" spans="1:18" ht="15" customHeight="1" thickTop="1" thickBot="1" x14ac:dyDescent="0.35">
      <c r="A65" s="700"/>
      <c r="B65" s="675"/>
      <c r="C65" s="20"/>
      <c r="D65" s="332"/>
      <c r="E65" s="274"/>
      <c r="F65" s="274"/>
      <c r="G65" s="275"/>
      <c r="H65" s="276"/>
      <c r="I65" s="277"/>
      <c r="J65" s="278"/>
      <c r="K65" s="279"/>
      <c r="L65" s="280"/>
      <c r="M65" s="406"/>
      <c r="N65" s="280"/>
      <c r="O65" s="406"/>
      <c r="P65" s="286"/>
      <c r="Q65" s="124"/>
    </row>
    <row r="66" spans="1:18" s="3" customFormat="1" ht="46.5" customHeight="1" thickTop="1" thickBot="1" x14ac:dyDescent="0.35">
      <c r="A66" s="700"/>
      <c r="B66" s="675"/>
      <c r="C66" s="281"/>
      <c r="D66" s="333" t="s">
        <v>78</v>
      </c>
      <c r="E66" s="257" t="s">
        <v>79</v>
      </c>
      <c r="F66" s="257" t="s">
        <v>4</v>
      </c>
      <c r="G66" s="257" t="s">
        <v>80</v>
      </c>
      <c r="H66" s="628" t="s">
        <v>8</v>
      </c>
      <c r="I66" s="628"/>
      <c r="J66" s="628"/>
      <c r="K66" s="628"/>
      <c r="L66" s="628"/>
      <c r="M66" s="629"/>
      <c r="N66" s="629"/>
      <c r="O66" s="630"/>
      <c r="P66" s="286"/>
      <c r="Q66" s="124"/>
      <c r="R66" s="495"/>
    </row>
    <row r="67" spans="1:18" ht="61.5" customHeight="1" x14ac:dyDescent="0.3">
      <c r="A67" s="700"/>
      <c r="B67" s="675"/>
      <c r="C67" s="282"/>
      <c r="D67" s="680" t="s">
        <v>23</v>
      </c>
      <c r="E67" s="718" t="s">
        <v>26</v>
      </c>
      <c r="F67" s="719" t="s">
        <v>95</v>
      </c>
      <c r="G67" s="293" t="s">
        <v>14</v>
      </c>
      <c r="H67" s="157" t="s">
        <v>84</v>
      </c>
      <c r="I67" s="59"/>
      <c r="J67" s="313">
        <v>25000</v>
      </c>
      <c r="K67" s="232"/>
      <c r="L67" s="202">
        <f>23400-5850-5850-5850-5850</f>
        <v>0</v>
      </c>
      <c r="M67" s="407">
        <v>44551</v>
      </c>
      <c r="N67" s="730">
        <f>5850+5850+5850+5850</f>
        <v>23400</v>
      </c>
      <c r="O67" s="464">
        <v>44888</v>
      </c>
      <c r="P67" s="286"/>
      <c r="Q67" s="124"/>
    </row>
    <row r="68" spans="1:18" ht="31.2" x14ac:dyDescent="0.3">
      <c r="A68" s="700"/>
      <c r="B68" s="675"/>
      <c r="C68" s="282"/>
      <c r="D68" s="680"/>
      <c r="E68" s="718"/>
      <c r="F68" s="719"/>
      <c r="G68" s="293"/>
      <c r="H68" s="68" t="s">
        <v>163</v>
      </c>
      <c r="I68" s="59"/>
      <c r="J68" s="612">
        <v>8000</v>
      </c>
      <c r="K68" s="232"/>
      <c r="L68" s="202"/>
      <c r="M68" s="407">
        <v>44846</v>
      </c>
      <c r="N68" s="365">
        <v>5065.6099999999997</v>
      </c>
      <c r="O68" s="464">
        <v>44893</v>
      </c>
      <c r="P68" s="286"/>
      <c r="Q68" s="124"/>
    </row>
    <row r="69" spans="1:18" ht="15.75" customHeight="1" x14ac:dyDescent="0.3">
      <c r="A69" s="700"/>
      <c r="B69" s="675"/>
      <c r="C69" s="282"/>
      <c r="D69" s="681"/>
      <c r="E69" s="718"/>
      <c r="F69" s="719"/>
      <c r="G69" s="293" t="s">
        <v>14</v>
      </c>
      <c r="H69" s="68" t="s">
        <v>114</v>
      </c>
      <c r="I69" s="60"/>
      <c r="J69" s="613"/>
      <c r="K69" s="158"/>
      <c r="L69" s="174"/>
      <c r="M69" s="408">
        <v>44767</v>
      </c>
      <c r="N69" s="366">
        <f>7190.48+105.07+85</f>
        <v>7380.5499999999993</v>
      </c>
      <c r="O69" s="380">
        <v>44875</v>
      </c>
      <c r="P69" s="286"/>
      <c r="Q69" s="124"/>
    </row>
    <row r="70" spans="1:18" ht="34.5" customHeight="1" x14ac:dyDescent="0.3">
      <c r="A70" s="700"/>
      <c r="B70" s="675"/>
      <c r="C70" s="282"/>
      <c r="D70" s="681"/>
      <c r="E70" s="718"/>
      <c r="F70" s="719"/>
      <c r="G70" s="293" t="s">
        <v>14</v>
      </c>
      <c r="H70" s="68" t="s">
        <v>140</v>
      </c>
      <c r="I70" s="60"/>
      <c r="J70" s="314">
        <v>3500</v>
      </c>
      <c r="K70" s="158"/>
      <c r="L70" s="174"/>
      <c r="M70" s="408">
        <v>44837</v>
      </c>
      <c r="N70" s="366">
        <f>3321.15+63+160</f>
        <v>3544.15</v>
      </c>
      <c r="O70" s="380">
        <v>44879</v>
      </c>
      <c r="P70" s="286"/>
      <c r="Q70" s="124"/>
    </row>
    <row r="71" spans="1:18" ht="74.25" customHeight="1" x14ac:dyDescent="0.3">
      <c r="A71" s="700"/>
      <c r="B71" s="675"/>
      <c r="C71" s="282"/>
      <c r="D71" s="681"/>
      <c r="E71" s="718"/>
      <c r="F71" s="719"/>
      <c r="G71" s="294" t="s">
        <v>20</v>
      </c>
      <c r="H71" s="68" t="s">
        <v>149</v>
      </c>
      <c r="I71" s="60"/>
      <c r="J71" s="216">
        <f>900+3000</f>
        <v>3900</v>
      </c>
      <c r="K71" s="158"/>
      <c r="L71" s="174"/>
      <c r="M71" s="408">
        <v>44810</v>
      </c>
      <c r="N71" s="736">
        <f>478.8+1815+1210+1210</f>
        <v>4713.8</v>
      </c>
      <c r="O71" s="380">
        <v>44818</v>
      </c>
      <c r="P71" s="286"/>
      <c r="Q71" s="124"/>
      <c r="R71" s="493">
        <f>SUM(N68:N73)</f>
        <v>23508.81</v>
      </c>
    </row>
    <row r="72" spans="1:18" ht="46.8" x14ac:dyDescent="0.3">
      <c r="A72" s="700"/>
      <c r="B72" s="675"/>
      <c r="C72" s="282"/>
      <c r="D72" s="681"/>
      <c r="E72" s="718"/>
      <c r="F72" s="719"/>
      <c r="G72" s="294" t="s">
        <v>19</v>
      </c>
      <c r="H72" s="150" t="s">
        <v>118</v>
      </c>
      <c r="I72" s="61"/>
      <c r="J72" s="216">
        <v>3700</v>
      </c>
      <c r="K72" s="158"/>
      <c r="L72" s="174"/>
      <c r="M72" s="408"/>
      <c r="N72" s="366">
        <v>1522.8</v>
      </c>
      <c r="O72" s="380">
        <v>44586</v>
      </c>
      <c r="P72" s="286"/>
      <c r="Q72" s="124"/>
    </row>
    <row r="73" spans="1:18" ht="46.8" x14ac:dyDescent="0.3">
      <c r="A73" s="700"/>
      <c r="B73" s="675"/>
      <c r="C73" s="282"/>
      <c r="D73" s="682"/>
      <c r="E73" s="718"/>
      <c r="F73" s="719"/>
      <c r="G73" s="295" t="s">
        <v>90</v>
      </c>
      <c r="H73" s="159" t="s">
        <v>139</v>
      </c>
      <c r="I73" s="62"/>
      <c r="J73" s="315">
        <v>900</v>
      </c>
      <c r="K73" s="158"/>
      <c r="L73" s="174"/>
      <c r="M73" s="408">
        <v>44551</v>
      </c>
      <c r="N73" s="366">
        <f>121+142.78+19.62+864.5+134</f>
        <v>1281.9000000000001</v>
      </c>
      <c r="O73" s="380">
        <v>44740</v>
      </c>
      <c r="P73" s="286"/>
      <c r="Q73" s="124"/>
    </row>
    <row r="74" spans="1:18" ht="16.5" customHeight="1" thickBot="1" x14ac:dyDescent="0.35">
      <c r="A74" s="700"/>
      <c r="B74" s="675"/>
      <c r="C74" s="282"/>
      <c r="D74" s="334"/>
      <c r="E74" s="718"/>
      <c r="F74" s="719"/>
      <c r="G74" s="295"/>
      <c r="H74" s="349" t="s">
        <v>110</v>
      </c>
      <c r="I74" s="62"/>
      <c r="J74" s="316"/>
      <c r="K74" s="172"/>
      <c r="L74" s="188"/>
      <c r="M74" s="409"/>
      <c r="N74" s="367"/>
      <c r="O74" s="465"/>
      <c r="P74" s="286"/>
      <c r="Q74" s="124"/>
    </row>
    <row r="75" spans="1:18" ht="45" customHeight="1" thickBot="1" x14ac:dyDescent="0.35">
      <c r="A75" s="700"/>
      <c r="B75" s="675"/>
      <c r="C75" s="283"/>
      <c r="D75" s="649" t="s">
        <v>67</v>
      </c>
      <c r="E75" s="650"/>
      <c r="F75" s="650"/>
      <c r="G75" s="650"/>
      <c r="H75" s="650"/>
      <c r="I75" s="258">
        <f>SUM(I67:I73)</f>
        <v>0</v>
      </c>
      <c r="J75" s="259">
        <f>SUM(J67:J74)</f>
        <v>45000</v>
      </c>
      <c r="K75" s="371">
        <f>SUM(K67:K74)</f>
        <v>0</v>
      </c>
      <c r="L75" s="371">
        <f>SUM(L67:L74)</f>
        <v>0</v>
      </c>
      <c r="M75" s="410"/>
      <c r="N75" s="371">
        <f>SUM(N67:N74)</f>
        <v>46908.810000000012</v>
      </c>
      <c r="O75" s="466"/>
      <c r="P75" s="286"/>
      <c r="Q75" s="124"/>
      <c r="R75" s="524">
        <f>J75-L75-N75</f>
        <v>-1908.8100000000122</v>
      </c>
    </row>
    <row r="76" spans="1:18" ht="14.25" customHeight="1" thickBot="1" x14ac:dyDescent="0.35">
      <c r="A76" s="700"/>
      <c r="B76" s="40"/>
      <c r="P76" s="288"/>
      <c r="Q76" s="124"/>
    </row>
    <row r="77" spans="1:18" s="3" customFormat="1" ht="63.75" customHeight="1" thickBot="1" x14ac:dyDescent="0.35">
      <c r="A77" s="700"/>
      <c r="B77" s="610" t="s">
        <v>70</v>
      </c>
      <c r="C77" s="611"/>
      <c r="D77" s="611"/>
      <c r="E77" s="611"/>
      <c r="F77" s="611"/>
      <c r="G77" s="611"/>
      <c r="H77" s="611"/>
      <c r="I77" s="21" t="e">
        <f>I49+#REF!+I64+#REF!+#REF!</f>
        <v>#REF!</v>
      </c>
      <c r="J77" s="171">
        <f>J49+J64+J75</f>
        <v>361700</v>
      </c>
      <c r="K77" s="485">
        <f>K49+K64+K75</f>
        <v>49000</v>
      </c>
      <c r="L77" s="171">
        <f>L49+L64+L75</f>
        <v>8083.1600000000089</v>
      </c>
      <c r="M77" s="411"/>
      <c r="N77" s="171">
        <f>N49+N64+N75</f>
        <v>414836.58999999997</v>
      </c>
      <c r="O77" s="467"/>
      <c r="P77" s="289"/>
      <c r="Q77" s="124"/>
      <c r="R77" s="533">
        <f>J77-L77-N77</f>
        <v>-61219.75</v>
      </c>
    </row>
    <row r="78" spans="1:18" s="6" customFormat="1" ht="33" customHeight="1" thickBot="1" x14ac:dyDescent="0.35">
      <c r="A78" s="700"/>
      <c r="B78" s="11"/>
      <c r="C78" s="11"/>
      <c r="D78" s="11"/>
      <c r="E78" s="11"/>
      <c r="F78" s="11"/>
      <c r="G78" s="48"/>
      <c r="H78" s="9"/>
      <c r="I78" s="11"/>
      <c r="J78" s="128"/>
      <c r="K78" s="113"/>
      <c r="L78" s="189"/>
      <c r="M78" s="412"/>
      <c r="N78" s="189"/>
      <c r="O78" s="412"/>
      <c r="Q78" s="125"/>
      <c r="R78" s="496"/>
    </row>
    <row r="79" spans="1:18" s="6" customFormat="1" ht="48.75" customHeight="1" thickBot="1" x14ac:dyDescent="0.35">
      <c r="A79" s="700"/>
      <c r="B79" s="716" t="s">
        <v>10</v>
      </c>
      <c r="C79" s="717"/>
      <c r="D79" s="717"/>
      <c r="E79" s="717"/>
      <c r="F79" s="717"/>
      <c r="G79" s="717"/>
      <c r="H79" s="717"/>
      <c r="I79" s="717"/>
      <c r="J79" s="717"/>
      <c r="K79" s="717"/>
      <c r="L79" s="717"/>
      <c r="M79" s="717"/>
      <c r="N79" s="717"/>
      <c r="O79" s="717"/>
      <c r="P79" s="37"/>
      <c r="Q79" s="125"/>
      <c r="R79" s="496"/>
    </row>
    <row r="80" spans="1:18" s="6" customFormat="1" ht="9.75" customHeight="1" thickBot="1" x14ac:dyDescent="0.35">
      <c r="A80" s="700"/>
      <c r="B80" s="89"/>
      <c r="C80" s="89"/>
      <c r="D80" s="90"/>
      <c r="E80" s="90"/>
      <c r="F80" s="90"/>
      <c r="G80" s="90"/>
      <c r="H80" s="90"/>
      <c r="I80" s="90"/>
      <c r="J80" s="205"/>
      <c r="K80" s="114"/>
      <c r="L80" s="90"/>
      <c r="M80" s="413"/>
      <c r="N80" s="90"/>
      <c r="O80" s="413"/>
      <c r="P80" s="38"/>
      <c r="Q80" s="125"/>
      <c r="R80" s="496"/>
    </row>
    <row r="81" spans="1:18" s="4" customFormat="1" ht="36" customHeight="1" thickTop="1" thickBot="1" x14ac:dyDescent="0.35">
      <c r="A81" s="700"/>
      <c r="B81" s="561" t="s">
        <v>98</v>
      </c>
      <c r="C81" s="41"/>
      <c r="D81" s="336" t="s">
        <v>78</v>
      </c>
      <c r="E81" s="260" t="s">
        <v>79</v>
      </c>
      <c r="F81" s="260" t="s">
        <v>4</v>
      </c>
      <c r="G81" s="260" t="s">
        <v>80</v>
      </c>
      <c r="H81" s="568" t="s">
        <v>46</v>
      </c>
      <c r="I81" s="568"/>
      <c r="J81" s="568"/>
      <c r="K81" s="568"/>
      <c r="L81" s="568"/>
      <c r="M81" s="568"/>
      <c r="N81" s="568"/>
      <c r="O81" s="569"/>
      <c r="P81" s="79"/>
      <c r="Q81" s="125"/>
      <c r="R81" s="497"/>
    </row>
    <row r="82" spans="1:18" s="4" customFormat="1" ht="31.5" customHeight="1" x14ac:dyDescent="0.3">
      <c r="A82" s="700"/>
      <c r="B82" s="562"/>
      <c r="C82" s="41"/>
      <c r="D82" s="702" t="s">
        <v>108</v>
      </c>
      <c r="E82" s="703"/>
      <c r="F82" s="703"/>
      <c r="G82" s="703"/>
      <c r="H82" s="703"/>
      <c r="I82" s="703"/>
      <c r="J82" s="703"/>
      <c r="K82" s="703"/>
      <c r="L82" s="703"/>
      <c r="M82" s="704"/>
      <c r="N82" s="704"/>
      <c r="O82" s="705"/>
      <c r="P82" s="79"/>
      <c r="Q82" s="125"/>
      <c r="R82" s="497"/>
    </row>
    <row r="83" spans="1:18" s="4" customFormat="1" ht="31.2" x14ac:dyDescent="0.3">
      <c r="A83" s="700"/>
      <c r="B83" s="562"/>
      <c r="C83" s="41"/>
      <c r="D83" s="694" t="s">
        <v>96</v>
      </c>
      <c r="E83" s="695" t="s">
        <v>97</v>
      </c>
      <c r="F83" s="609" t="s">
        <v>106</v>
      </c>
      <c r="G83" s="296" t="s">
        <v>45</v>
      </c>
      <c r="H83" s="145" t="s">
        <v>92</v>
      </c>
      <c r="I83" s="54"/>
      <c r="J83" s="222">
        <v>4000</v>
      </c>
      <c r="K83" s="107"/>
      <c r="L83" s="190"/>
      <c r="M83" s="414"/>
      <c r="N83" s="368"/>
      <c r="O83" s="468"/>
      <c r="P83" s="79"/>
      <c r="Q83" s="125"/>
      <c r="R83" s="497"/>
    </row>
    <row r="84" spans="1:18" s="4" customFormat="1" ht="46.8" x14ac:dyDescent="0.3">
      <c r="A84" s="700"/>
      <c r="B84" s="562"/>
      <c r="C84" s="41"/>
      <c r="D84" s="694"/>
      <c r="E84" s="695"/>
      <c r="F84" s="609"/>
      <c r="G84" s="600" t="s">
        <v>43</v>
      </c>
      <c r="H84" s="145" t="s">
        <v>131</v>
      </c>
      <c r="I84" s="54"/>
      <c r="J84" s="222">
        <v>6000</v>
      </c>
      <c r="K84" s="107"/>
      <c r="L84" s="190">
        <f>2160-2160</f>
        <v>0</v>
      </c>
      <c r="M84" s="414">
        <v>44636</v>
      </c>
      <c r="N84" s="721">
        <v>2160</v>
      </c>
      <c r="O84" s="468">
        <v>44739</v>
      </c>
      <c r="P84" s="79"/>
      <c r="Q84" s="125"/>
      <c r="R84" s="497"/>
    </row>
    <row r="85" spans="1:18" s="4" customFormat="1" ht="95.25" customHeight="1" x14ac:dyDescent="0.3">
      <c r="A85" s="700"/>
      <c r="B85" s="562"/>
      <c r="C85" s="41"/>
      <c r="D85" s="694"/>
      <c r="E85" s="695"/>
      <c r="F85" s="609"/>
      <c r="G85" s="601"/>
      <c r="H85" s="145" t="s">
        <v>148</v>
      </c>
      <c r="I85" s="54"/>
      <c r="J85" s="222">
        <v>10000</v>
      </c>
      <c r="K85" s="107"/>
      <c r="L85" s="190"/>
      <c r="M85" s="414">
        <v>44740</v>
      </c>
      <c r="N85" s="721">
        <f>8.8+2945.4</f>
        <v>2954.2000000000003</v>
      </c>
      <c r="O85" s="468">
        <v>44753</v>
      </c>
      <c r="P85" s="79"/>
      <c r="Q85" s="125"/>
      <c r="R85" s="497">
        <f>18178.94-2352</f>
        <v>15826.939999999999</v>
      </c>
    </row>
    <row r="86" spans="1:18" s="4" customFormat="1" ht="71.25" customHeight="1" x14ac:dyDescent="0.3">
      <c r="A86" s="700"/>
      <c r="B86" s="562"/>
      <c r="C86" s="41"/>
      <c r="D86" s="694"/>
      <c r="E86" s="695"/>
      <c r="F86" s="609"/>
      <c r="G86" s="602"/>
      <c r="H86" s="150" t="s">
        <v>134</v>
      </c>
      <c r="I86" s="54"/>
      <c r="J86" s="222">
        <v>10000</v>
      </c>
      <c r="K86" s="107"/>
      <c r="L86" s="190">
        <f>2352+2754+1998.6+1862.17-1862.17+235.2-235.2-1998.6-2754-2352</f>
        <v>0</v>
      </c>
      <c r="M86" s="414">
        <v>44677</v>
      </c>
      <c r="N86" s="721">
        <f>1862.17+235.2+1998.6+2754+2352-2352+1250</f>
        <v>8099.9699999999993</v>
      </c>
      <c r="O86" s="468">
        <v>44893</v>
      </c>
      <c r="P86" s="79"/>
      <c r="Q86" s="125"/>
      <c r="R86" s="497"/>
    </row>
    <row r="87" spans="1:18" s="4" customFormat="1" ht="18" x14ac:dyDescent="0.3">
      <c r="A87" s="700"/>
      <c r="B87" s="562"/>
      <c r="C87" s="41"/>
      <c r="D87" s="694"/>
      <c r="E87" s="695"/>
      <c r="F87" s="609"/>
      <c r="G87" s="296"/>
      <c r="H87" s="145" t="s">
        <v>93</v>
      </c>
      <c r="I87" s="54"/>
      <c r="J87" s="222"/>
      <c r="K87" s="107"/>
      <c r="L87" s="190"/>
      <c r="M87" s="414"/>
      <c r="N87" s="368"/>
      <c r="O87" s="468"/>
      <c r="P87" s="79"/>
      <c r="Q87" s="125"/>
      <c r="R87" s="497"/>
    </row>
    <row r="88" spans="1:18" s="4" customFormat="1" ht="109.5" customHeight="1" thickBot="1" x14ac:dyDescent="0.35">
      <c r="A88" s="700"/>
      <c r="B88" s="562"/>
      <c r="C88" s="41"/>
      <c r="D88" s="694"/>
      <c r="E88" s="695"/>
      <c r="F88" s="609"/>
      <c r="G88" s="296"/>
      <c r="H88" s="145" t="s">
        <v>137</v>
      </c>
      <c r="I88" s="54"/>
      <c r="J88" s="222">
        <v>6000</v>
      </c>
      <c r="K88" s="521">
        <v>360</v>
      </c>
      <c r="L88" s="190">
        <f>1250-1250</f>
        <v>0</v>
      </c>
      <c r="M88" s="414"/>
      <c r="N88" s="721">
        <v>2612.77</v>
      </c>
      <c r="O88" s="468">
        <v>44739</v>
      </c>
      <c r="P88" s="79"/>
      <c r="Q88" s="125"/>
      <c r="R88" s="497"/>
    </row>
    <row r="89" spans="1:18" ht="21.75" customHeight="1" thickBot="1" x14ac:dyDescent="0.35">
      <c r="A89" s="700"/>
      <c r="B89" s="562"/>
      <c r="C89" s="42"/>
      <c r="D89" s="576" t="s">
        <v>9</v>
      </c>
      <c r="E89" s="577"/>
      <c r="F89" s="577"/>
      <c r="G89" s="577"/>
      <c r="H89" s="577"/>
      <c r="I89" s="297"/>
      <c r="J89" s="298">
        <f>SUM(J83:J88)</f>
        <v>36000</v>
      </c>
      <c r="K89" s="486">
        <f>SUM(K83:K88)</f>
        <v>360</v>
      </c>
      <c r="L89" s="298">
        <f>SUM(L83:L88)</f>
        <v>0</v>
      </c>
      <c r="M89" s="415"/>
      <c r="N89" s="298">
        <f>SUM(N83:N88)</f>
        <v>15826.94</v>
      </c>
      <c r="O89" s="469"/>
      <c r="P89" s="55"/>
      <c r="Q89" s="124"/>
      <c r="R89" s="525">
        <f>J89-L89-N89</f>
        <v>20173.059999999998</v>
      </c>
    </row>
    <row r="90" spans="1:18" ht="42" customHeight="1" x14ac:dyDescent="0.3">
      <c r="A90" s="700"/>
      <c r="B90" s="562"/>
      <c r="C90" s="42"/>
      <c r="D90" s="541" t="s">
        <v>32</v>
      </c>
      <c r="E90" s="542"/>
      <c r="F90" s="542"/>
      <c r="G90" s="542"/>
      <c r="H90" s="542"/>
      <c r="I90" s="542"/>
      <c r="J90" s="542"/>
      <c r="K90" s="542"/>
      <c r="L90" s="542"/>
      <c r="M90" s="542"/>
      <c r="N90" s="542"/>
      <c r="O90" s="543"/>
      <c r="P90" s="55"/>
      <c r="Q90" s="124"/>
    </row>
    <row r="91" spans="1:18" ht="21" x14ac:dyDescent="0.3">
      <c r="A91" s="700"/>
      <c r="B91" s="562"/>
      <c r="C91" s="42"/>
      <c r="D91" s="692" t="s">
        <v>99</v>
      </c>
      <c r="E91" s="564" t="s">
        <v>91</v>
      </c>
      <c r="F91" s="564" t="s">
        <v>100</v>
      </c>
      <c r="G91" s="709" t="s">
        <v>45</v>
      </c>
      <c r="H91" s="614" t="s">
        <v>120</v>
      </c>
      <c r="I91" s="137"/>
      <c r="J91" s="617" t="s">
        <v>121</v>
      </c>
      <c r="K91" s="123"/>
      <c r="L91" s="191"/>
      <c r="M91" s="416"/>
      <c r="N91" s="369"/>
      <c r="O91" s="470"/>
      <c r="P91" s="55"/>
      <c r="Q91" s="124"/>
    </row>
    <row r="92" spans="1:18" ht="21" x14ac:dyDescent="0.3">
      <c r="A92" s="700"/>
      <c r="B92" s="562"/>
      <c r="C92" s="42"/>
      <c r="D92" s="693"/>
      <c r="E92" s="565"/>
      <c r="F92" s="565"/>
      <c r="G92" s="710"/>
      <c r="H92" s="615"/>
      <c r="I92" s="137"/>
      <c r="J92" s="618"/>
      <c r="K92" s="123"/>
      <c r="L92" s="191"/>
      <c r="M92" s="416"/>
      <c r="N92" s="369"/>
      <c r="O92" s="470"/>
      <c r="P92" s="55"/>
      <c r="Q92" s="124"/>
    </row>
    <row r="93" spans="1:18" ht="21" x14ac:dyDescent="0.3">
      <c r="A93" s="700"/>
      <c r="B93" s="562"/>
      <c r="C93" s="42"/>
      <c r="D93" s="693"/>
      <c r="E93" s="565"/>
      <c r="F93" s="565"/>
      <c r="G93" s="710"/>
      <c r="H93" s="616"/>
      <c r="I93" s="137"/>
      <c r="J93" s="619"/>
      <c r="K93" s="123"/>
      <c r="L93" s="191"/>
      <c r="M93" s="416"/>
      <c r="N93" s="369"/>
      <c r="O93" s="470"/>
      <c r="P93" s="55"/>
      <c r="Q93" s="124"/>
    </row>
    <row r="94" spans="1:18" ht="172.2" thickBot="1" x14ac:dyDescent="0.35">
      <c r="A94" s="700"/>
      <c r="B94" s="562"/>
      <c r="C94" s="42"/>
      <c r="D94" s="693"/>
      <c r="E94" s="565"/>
      <c r="F94" s="565"/>
      <c r="G94" s="710"/>
      <c r="H94" s="68" t="s">
        <v>151</v>
      </c>
      <c r="I94" s="137"/>
      <c r="J94" s="348">
        <v>3500</v>
      </c>
      <c r="K94" s="521">
        <v>9000</v>
      </c>
      <c r="L94" s="190">
        <f>321.6+960-321.6+27.52-27.52-960+230.4-230.4+66-66+66-66</f>
        <v>-1.1368683772161603E-13</v>
      </c>
      <c r="M94" s="414">
        <v>44739</v>
      </c>
      <c r="N94" s="721">
        <f>150+321.6+27.52+419.52+573.34+960+100.23+104.7+86.9+347.9+101.3+161.21+138.9+182.65+230.4+66+66+58</f>
        <v>4096.17</v>
      </c>
      <c r="O94" s="468">
        <v>44739</v>
      </c>
      <c r="P94" s="55"/>
      <c r="Q94" s="124"/>
      <c r="R94" s="491">
        <f>3228.52+867.65</f>
        <v>4096.17</v>
      </c>
    </row>
    <row r="95" spans="1:18" ht="18.75" customHeight="1" thickBot="1" x14ac:dyDescent="0.35">
      <c r="A95" s="700"/>
      <c r="B95" s="562"/>
      <c r="C95" s="42"/>
      <c r="D95" s="559" t="s">
        <v>27</v>
      </c>
      <c r="E95" s="560"/>
      <c r="F95" s="560"/>
      <c r="G95" s="560"/>
      <c r="H95" s="560"/>
      <c r="I95" s="80"/>
      <c r="J95" s="223">
        <f>SUM(J91:J94)</f>
        <v>3500</v>
      </c>
      <c r="K95" s="372">
        <v>9000</v>
      </c>
      <c r="L95" s="372">
        <f>SUM(L91:L94)</f>
        <v>-1.1368683772161603E-13</v>
      </c>
      <c r="M95" s="417"/>
      <c r="N95" s="372">
        <f>SUM(N91:N94)</f>
        <v>4096.17</v>
      </c>
      <c r="O95" s="471"/>
      <c r="P95" s="55"/>
      <c r="Q95" s="124"/>
      <c r="R95" s="504">
        <f>J95-L95-N95</f>
        <v>-596.17000000000007</v>
      </c>
    </row>
    <row r="96" spans="1:18" s="4" customFormat="1" ht="69.75" customHeight="1" thickBot="1" x14ac:dyDescent="0.35">
      <c r="A96" s="700"/>
      <c r="B96" s="562"/>
      <c r="C96" s="42"/>
      <c r="D96" s="631" t="s">
        <v>68</v>
      </c>
      <c r="E96" s="632"/>
      <c r="F96" s="632"/>
      <c r="G96" s="632"/>
      <c r="H96" s="633"/>
      <c r="I96" s="261" t="e">
        <f>SUM(#REF!)</f>
        <v>#REF!</v>
      </c>
      <c r="J96" s="263">
        <f>J89+J95</f>
        <v>39500</v>
      </c>
      <c r="K96" s="487">
        <f>K95+K89</f>
        <v>9360</v>
      </c>
      <c r="L96" s="262">
        <f>L95+L89</f>
        <v>-1.1368683772161603E-13</v>
      </c>
      <c r="M96" s="418"/>
      <c r="N96" s="262">
        <f>N95+N89</f>
        <v>19923.11</v>
      </c>
      <c r="O96" s="472"/>
      <c r="P96" s="79"/>
      <c r="Q96" s="125"/>
      <c r="R96" s="528">
        <f>J96-L96-N96</f>
        <v>19576.89</v>
      </c>
    </row>
    <row r="97" spans="1:18" s="4" customFormat="1" ht="14.25" customHeight="1" thickTop="1" thickBot="1" x14ac:dyDescent="0.35">
      <c r="A97" s="700"/>
      <c r="B97" s="562"/>
      <c r="C97" s="43"/>
      <c r="D97" s="337"/>
      <c r="E97" s="27"/>
      <c r="F97" s="27"/>
      <c r="G97" s="49"/>
      <c r="H97" s="28"/>
      <c r="I97" s="29"/>
      <c r="J97" s="129"/>
      <c r="K97" s="115"/>
      <c r="L97" s="192"/>
      <c r="M97" s="419"/>
      <c r="N97" s="192"/>
      <c r="O97" s="419"/>
      <c r="P97" s="38"/>
      <c r="Q97" s="125"/>
      <c r="R97" s="497"/>
    </row>
    <row r="98" spans="1:18" ht="55.5" customHeight="1" thickTop="1" thickBot="1" x14ac:dyDescent="0.35">
      <c r="A98" s="700"/>
      <c r="B98" s="562"/>
      <c r="C98" s="44"/>
      <c r="D98" s="338" t="s">
        <v>78</v>
      </c>
      <c r="E98" s="270" t="s">
        <v>79</v>
      </c>
      <c r="F98" s="270" t="s">
        <v>4</v>
      </c>
      <c r="G98" s="270" t="s">
        <v>80</v>
      </c>
      <c r="H98" s="570" t="s">
        <v>159</v>
      </c>
      <c r="I98" s="571"/>
      <c r="J98" s="571"/>
      <c r="K98" s="571"/>
      <c r="L98" s="571"/>
      <c r="M98" s="571"/>
      <c r="N98" s="571"/>
      <c r="O98" s="572"/>
      <c r="P98" s="55"/>
      <c r="Q98" s="124"/>
    </row>
    <row r="99" spans="1:18" ht="52.5" customHeight="1" x14ac:dyDescent="0.3">
      <c r="A99" s="700"/>
      <c r="B99" s="562"/>
      <c r="C99" s="44"/>
      <c r="D99" s="714" t="s">
        <v>23</v>
      </c>
      <c r="E99" s="696" t="s">
        <v>102</v>
      </c>
      <c r="F99" s="698" t="s">
        <v>103</v>
      </c>
      <c r="G99" s="299" t="s">
        <v>50</v>
      </c>
      <c r="H99" s="233" t="s">
        <v>57</v>
      </c>
      <c r="I99" s="234">
        <v>5000</v>
      </c>
      <c r="J99" s="224"/>
      <c r="K99" s="116"/>
      <c r="L99" s="193"/>
      <c r="M99" s="420"/>
      <c r="N99" s="370"/>
      <c r="O99" s="473"/>
      <c r="P99" s="55"/>
      <c r="Q99" s="124"/>
    </row>
    <row r="100" spans="1:18" ht="78" customHeight="1" x14ac:dyDescent="0.3">
      <c r="A100" s="700"/>
      <c r="B100" s="562"/>
      <c r="C100" s="44"/>
      <c r="D100" s="714"/>
      <c r="E100" s="696"/>
      <c r="F100" s="696"/>
      <c r="G100" s="300" t="s">
        <v>14</v>
      </c>
      <c r="H100" s="161" t="s">
        <v>153</v>
      </c>
      <c r="I100" s="162">
        <v>4968</v>
      </c>
      <c r="J100" s="224">
        <v>2500</v>
      </c>
      <c r="K100" s="523"/>
      <c r="L100" s="193">
        <f>1628+507.6-1628-507.6</f>
        <v>0</v>
      </c>
      <c r="M100" s="420">
        <v>44777</v>
      </c>
      <c r="N100" s="731">
        <f>1628+507.6</f>
        <v>2135.6</v>
      </c>
      <c r="O100" s="473">
        <v>44854</v>
      </c>
      <c r="P100" s="55"/>
      <c r="Q100" s="124"/>
    </row>
    <row r="101" spans="1:18" ht="60" x14ac:dyDescent="0.3">
      <c r="A101" s="700"/>
      <c r="B101" s="562"/>
      <c r="C101" s="44"/>
      <c r="D101" s="714"/>
      <c r="E101" s="696"/>
      <c r="F101" s="696"/>
      <c r="G101" s="300" t="s">
        <v>40</v>
      </c>
      <c r="H101" s="350" t="s">
        <v>161</v>
      </c>
      <c r="I101" s="162">
        <v>6000</v>
      </c>
      <c r="J101" s="224">
        <v>2500</v>
      </c>
      <c r="K101" s="116"/>
      <c r="L101" s="193"/>
      <c r="M101" s="420">
        <v>44837</v>
      </c>
      <c r="N101" s="731">
        <f>1024.5+73.2+1095</f>
        <v>2192.6999999999998</v>
      </c>
      <c r="O101" s="473">
        <v>44859</v>
      </c>
      <c r="P101" s="55"/>
      <c r="Q101" s="124"/>
    </row>
    <row r="102" spans="1:18" ht="27.6" x14ac:dyDescent="0.3">
      <c r="A102" s="700"/>
      <c r="B102" s="562"/>
      <c r="C102" s="44"/>
      <c r="D102" s="714"/>
      <c r="E102" s="696"/>
      <c r="F102" s="696"/>
      <c r="G102" s="300" t="s">
        <v>51</v>
      </c>
      <c r="H102" s="161" t="s">
        <v>49</v>
      </c>
      <c r="I102" s="162">
        <v>3000</v>
      </c>
      <c r="J102" s="224"/>
      <c r="K102" s="116"/>
      <c r="L102" s="193"/>
      <c r="M102" s="420"/>
      <c r="N102" s="370"/>
      <c r="O102" s="473"/>
      <c r="P102" s="55"/>
      <c r="Q102" s="124"/>
    </row>
    <row r="103" spans="1:18" ht="31.2" x14ac:dyDescent="0.3">
      <c r="A103" s="700"/>
      <c r="B103" s="562"/>
      <c r="C103" s="44"/>
      <c r="D103" s="714"/>
      <c r="E103" s="696"/>
      <c r="F103" s="696"/>
      <c r="G103" s="300" t="s">
        <v>43</v>
      </c>
      <c r="H103" s="161" t="s">
        <v>158</v>
      </c>
      <c r="I103" s="162">
        <v>800</v>
      </c>
      <c r="J103" s="224">
        <v>5000</v>
      </c>
      <c r="K103" s="520" t="s">
        <v>154</v>
      </c>
      <c r="L103" s="193">
        <f>3000+2444-733.2-1500-1500-1710.8</f>
        <v>0</v>
      </c>
      <c r="M103" s="420">
        <v>44817</v>
      </c>
      <c r="N103" s="731">
        <f>733.2+1500+163.45+1500+1710.8</f>
        <v>5607.45</v>
      </c>
      <c r="O103" s="473">
        <v>44867</v>
      </c>
      <c r="P103" s="55"/>
      <c r="Q103" s="124"/>
    </row>
    <row r="104" spans="1:18" ht="108" customHeight="1" x14ac:dyDescent="0.3">
      <c r="A104" s="700"/>
      <c r="B104" s="562"/>
      <c r="C104" s="44"/>
      <c r="D104" s="714"/>
      <c r="E104" s="696"/>
      <c r="F104" s="696"/>
      <c r="G104" s="300" t="s">
        <v>52</v>
      </c>
      <c r="H104" s="161" t="s">
        <v>169</v>
      </c>
      <c r="I104" s="162">
        <v>1000</v>
      </c>
      <c r="J104" s="620">
        <v>9900</v>
      </c>
      <c r="K104" s="538" t="s">
        <v>170</v>
      </c>
      <c r="L104" s="193">
        <f>3000-3000</f>
        <v>0</v>
      </c>
      <c r="M104" s="420">
        <v>44855</v>
      </c>
      <c r="N104" s="731">
        <f>2880+3000</f>
        <v>5880</v>
      </c>
      <c r="O104" s="473">
        <v>44893</v>
      </c>
      <c r="P104" s="55"/>
      <c r="Q104" s="124"/>
    </row>
    <row r="105" spans="1:18" ht="25.5" customHeight="1" thickBot="1" x14ac:dyDescent="0.35">
      <c r="A105" s="700"/>
      <c r="B105" s="562"/>
      <c r="C105" s="44"/>
      <c r="D105" s="715"/>
      <c r="E105" s="697"/>
      <c r="F105" s="697"/>
      <c r="G105" s="301" t="s">
        <v>53</v>
      </c>
      <c r="H105" s="351" t="s">
        <v>111</v>
      </c>
      <c r="I105" s="162">
        <v>2000</v>
      </c>
      <c r="J105" s="621"/>
      <c r="K105" s="116"/>
      <c r="L105" s="193"/>
      <c r="M105" s="420"/>
      <c r="N105" s="370"/>
      <c r="O105" s="473"/>
      <c r="P105" s="55"/>
      <c r="Q105" s="124"/>
    </row>
    <row r="106" spans="1:18" ht="36" customHeight="1" thickBot="1" x14ac:dyDescent="0.35">
      <c r="A106" s="700"/>
      <c r="B106" s="562"/>
      <c r="C106" s="44"/>
      <c r="D106" s="605" t="s">
        <v>42</v>
      </c>
      <c r="E106" s="606"/>
      <c r="F106" s="606"/>
      <c r="G106" s="607"/>
      <c r="H106" s="608"/>
      <c r="I106" s="271">
        <f>SUM(I99:I105)</f>
        <v>22768</v>
      </c>
      <c r="J106" s="273">
        <f>15000+4900</f>
        <v>19900</v>
      </c>
      <c r="K106" s="272">
        <f>SUM(K99:K105)</f>
        <v>0</v>
      </c>
      <c r="L106" s="272">
        <f>SUM(L99:L105)</f>
        <v>0</v>
      </c>
      <c r="M106" s="421"/>
      <c r="N106" s="272">
        <f>SUM(N99:N105)</f>
        <v>15815.75</v>
      </c>
      <c r="O106" s="474"/>
      <c r="P106" s="55"/>
      <c r="Q106" s="124"/>
      <c r="R106" s="531">
        <f>J106-L106-N106</f>
        <v>4084.25</v>
      </c>
    </row>
    <row r="107" spans="1:18" ht="9" customHeight="1" thickTop="1" thickBot="1" x14ac:dyDescent="0.35">
      <c r="A107" s="700"/>
      <c r="B107" s="562"/>
      <c r="C107" s="44"/>
      <c r="D107" s="339"/>
      <c r="E107" s="264"/>
      <c r="F107" s="264"/>
      <c r="G107" s="264"/>
      <c r="H107" s="265"/>
      <c r="I107" s="266"/>
      <c r="J107" s="267"/>
      <c r="K107" s="268"/>
      <c r="L107" s="269"/>
      <c r="M107" s="422"/>
      <c r="N107" s="269"/>
      <c r="O107" s="422"/>
      <c r="P107" s="39"/>
      <c r="Q107" s="124"/>
    </row>
    <row r="108" spans="1:18" ht="103.5" customHeight="1" thickBot="1" x14ac:dyDescent="0.35">
      <c r="A108" s="700"/>
      <c r="B108" s="562"/>
      <c r="C108" s="24"/>
      <c r="D108" s="597" t="s">
        <v>69</v>
      </c>
      <c r="E108" s="598"/>
      <c r="F108" s="598"/>
      <c r="G108" s="598"/>
      <c r="H108" s="599"/>
      <c r="I108" s="33"/>
      <c r="J108" s="226">
        <f>J96+J106</f>
        <v>59400</v>
      </c>
      <c r="K108" s="488">
        <v>10230</v>
      </c>
      <c r="L108" s="373">
        <f>L96+L106</f>
        <v>-1.1368683772161603E-13</v>
      </c>
      <c r="M108" s="423"/>
      <c r="N108" s="373">
        <f>N96+N106</f>
        <v>35738.86</v>
      </c>
      <c r="O108" s="475"/>
      <c r="P108" s="63"/>
      <c r="Q108" s="124"/>
      <c r="R108" s="510">
        <f>J108-L108-N108</f>
        <v>23661.14</v>
      </c>
    </row>
    <row r="109" spans="1:18" s="3" customFormat="1" ht="32.25" customHeight="1" thickBot="1" x14ac:dyDescent="0.35">
      <c r="A109" s="700"/>
      <c r="B109" s="98"/>
      <c r="C109" s="43"/>
      <c r="D109" s="340"/>
      <c r="E109" s="30"/>
      <c r="F109" s="30"/>
      <c r="G109" s="50"/>
      <c r="H109" s="31"/>
      <c r="I109" s="32"/>
      <c r="J109" s="129"/>
      <c r="K109" s="117"/>
      <c r="L109" s="194"/>
      <c r="M109" s="424"/>
      <c r="N109" s="194"/>
      <c r="O109" s="424"/>
      <c r="P109" s="83"/>
      <c r="Q109" s="124"/>
      <c r="R109" s="495"/>
    </row>
    <row r="110" spans="1:18" ht="51" customHeight="1" thickBot="1" x14ac:dyDescent="0.35">
      <c r="A110" s="700"/>
      <c r="B110" s="706" t="s">
        <v>30</v>
      </c>
      <c r="C110" s="45"/>
      <c r="D110" s="341" t="s">
        <v>78</v>
      </c>
      <c r="E110" s="235" t="s">
        <v>79</v>
      </c>
      <c r="F110" s="235" t="s">
        <v>4</v>
      </c>
      <c r="G110" s="235" t="s">
        <v>80</v>
      </c>
      <c r="H110" s="593" t="s">
        <v>31</v>
      </c>
      <c r="I110" s="594"/>
      <c r="J110" s="595"/>
      <c r="K110" s="594"/>
      <c r="L110" s="594"/>
      <c r="M110" s="594"/>
      <c r="N110" s="594"/>
      <c r="O110" s="596"/>
      <c r="P110" s="85"/>
      <c r="Q110" s="124"/>
    </row>
    <row r="111" spans="1:18" ht="60" customHeight="1" x14ac:dyDescent="0.3">
      <c r="A111" s="700"/>
      <c r="B111" s="707"/>
      <c r="C111" s="45"/>
      <c r="D111" s="318" t="s">
        <v>23</v>
      </c>
      <c r="E111" s="566" t="s">
        <v>38</v>
      </c>
      <c r="F111" s="566" t="s">
        <v>39</v>
      </c>
      <c r="G111" s="302"/>
      <c r="H111" s="236" t="s">
        <v>167</v>
      </c>
      <c r="I111" s="237"/>
      <c r="J111" s="345"/>
      <c r="K111" s="238"/>
      <c r="L111" s="193">
        <f>300+964.75-300-964.75</f>
        <v>0</v>
      </c>
      <c r="M111" s="425"/>
      <c r="N111" s="732">
        <f>300+964.75</f>
        <v>1264.75</v>
      </c>
      <c r="O111" s="425">
        <v>44755</v>
      </c>
      <c r="P111" s="84"/>
      <c r="Q111" s="124"/>
    </row>
    <row r="112" spans="1:18" ht="32.25" customHeight="1" x14ac:dyDescent="0.3">
      <c r="A112" s="700"/>
      <c r="B112" s="707"/>
      <c r="C112" s="45"/>
      <c r="D112" s="318"/>
      <c r="E112" s="566"/>
      <c r="F112" s="566"/>
      <c r="G112" s="302"/>
      <c r="H112" s="70" t="s">
        <v>177</v>
      </c>
      <c r="I112" s="237"/>
      <c r="J112" s="345"/>
      <c r="K112" s="238"/>
      <c r="L112" s="193">
        <v>208</v>
      </c>
      <c r="M112" s="425">
        <v>44613</v>
      </c>
      <c r="N112" s="193"/>
      <c r="O112" s="425"/>
      <c r="P112" s="84"/>
      <c r="Q112" s="124"/>
    </row>
    <row r="113" spans="1:18" ht="30" customHeight="1" x14ac:dyDescent="0.3">
      <c r="A113" s="700"/>
      <c r="B113" s="707"/>
      <c r="C113" s="45"/>
      <c r="D113" s="319" t="s">
        <v>23</v>
      </c>
      <c r="E113" s="566"/>
      <c r="F113" s="566"/>
      <c r="G113" s="303"/>
      <c r="H113" s="70" t="s">
        <v>178</v>
      </c>
      <c r="I113" s="71"/>
      <c r="J113" s="345"/>
      <c r="K113" s="118"/>
      <c r="L113" s="505"/>
      <c r="M113" s="506">
        <v>44783</v>
      </c>
      <c r="N113" s="733">
        <v>3500</v>
      </c>
      <c r="O113" s="506">
        <v>44837</v>
      </c>
      <c r="P113" s="84"/>
      <c r="Q113" s="124"/>
    </row>
    <row r="114" spans="1:18" ht="92.25" customHeight="1" x14ac:dyDescent="0.3">
      <c r="A114" s="700"/>
      <c r="B114" s="707"/>
      <c r="C114" s="45"/>
      <c r="D114" s="319" t="s">
        <v>47</v>
      </c>
      <c r="E114" s="566"/>
      <c r="F114" s="566"/>
      <c r="G114" s="303" t="s">
        <v>48</v>
      </c>
      <c r="H114" s="68" t="s">
        <v>171</v>
      </c>
      <c r="I114" s="138"/>
      <c r="J114" s="345"/>
      <c r="K114" s="118"/>
      <c r="L114" s="505">
        <f>1860+9480+1848+180+242-242-1848-1860-9480-180</f>
        <v>0</v>
      </c>
      <c r="M114" s="506">
        <v>44868</v>
      </c>
      <c r="N114" s="733">
        <f>242+1848+208.97+27+1860+9480+180</f>
        <v>13845.97</v>
      </c>
      <c r="O114" s="506">
        <v>44893</v>
      </c>
      <c r="P114" s="84"/>
      <c r="Q114" s="124"/>
    </row>
    <row r="115" spans="1:18" ht="56.25" customHeight="1" x14ac:dyDescent="0.3">
      <c r="A115" s="700"/>
      <c r="B115" s="707"/>
      <c r="C115" s="45"/>
      <c r="D115" s="320"/>
      <c r="E115" s="566"/>
      <c r="F115" s="566"/>
      <c r="G115" s="304"/>
      <c r="H115" s="68" t="s">
        <v>173</v>
      </c>
      <c r="I115" s="346"/>
      <c r="J115" s="345"/>
      <c r="K115" s="119"/>
      <c r="L115" s="532">
        <f>440-440</f>
        <v>0</v>
      </c>
      <c r="M115" s="426">
        <v>44867</v>
      </c>
      <c r="N115" s="734">
        <f>144+848.88+60+440+214.9</f>
        <v>1707.7800000000002</v>
      </c>
      <c r="O115" s="427">
        <v>44753</v>
      </c>
      <c r="P115" s="84"/>
      <c r="Q115" s="124"/>
    </row>
    <row r="116" spans="1:18" ht="83.25" customHeight="1" thickBot="1" x14ac:dyDescent="0.35">
      <c r="A116" s="700"/>
      <c r="B116" s="707"/>
      <c r="C116" s="45"/>
      <c r="D116" s="320"/>
      <c r="E116" s="567"/>
      <c r="F116" s="567"/>
      <c r="G116" s="304"/>
      <c r="H116" s="515" t="s">
        <v>168</v>
      </c>
      <c r="I116" s="64"/>
      <c r="J116" s="345"/>
      <c r="K116" s="521">
        <f>5100-850</f>
        <v>4250</v>
      </c>
      <c r="L116" s="505">
        <f>8122.8+792-1770.48+2348.4-6352.32-2348.4+188.4-188.4-792</f>
        <v>0</v>
      </c>
      <c r="M116" s="506">
        <v>44872</v>
      </c>
      <c r="N116" s="733">
        <f>1770.48+2348.4+6352.32-122.4+483.34+188.4+792+90.62</f>
        <v>11903.160000000002</v>
      </c>
      <c r="O116" s="506">
        <v>44886</v>
      </c>
      <c r="P116" s="511"/>
      <c r="Q116" s="124"/>
    </row>
    <row r="117" spans="1:18" ht="90" customHeight="1" thickBot="1" x14ac:dyDescent="0.35">
      <c r="A117" s="700"/>
      <c r="B117" s="708"/>
      <c r="C117" s="45"/>
      <c r="D117" s="585" t="s">
        <v>147</v>
      </c>
      <c r="E117" s="586"/>
      <c r="F117" s="586"/>
      <c r="G117" s="586"/>
      <c r="H117" s="587"/>
      <c r="I117" s="94">
        <f>SUM(I111:I111)</f>
        <v>0</v>
      </c>
      <c r="J117" s="226">
        <f>10000+15000</f>
        <v>25000</v>
      </c>
      <c r="K117" s="512">
        <v>5100</v>
      </c>
      <c r="L117" s="512">
        <f>SUM(L111:L116)</f>
        <v>208</v>
      </c>
      <c r="M117" s="513"/>
      <c r="N117" s="512">
        <f>SUM(N111:N116)</f>
        <v>32221.660000000003</v>
      </c>
      <c r="O117" s="514"/>
      <c r="P117" s="86"/>
      <c r="Q117" s="124"/>
      <c r="R117" s="534">
        <f>J117-L117-N117</f>
        <v>-7429.6600000000035</v>
      </c>
    </row>
    <row r="118" spans="1:18" ht="14.25" customHeight="1" thickBot="1" x14ac:dyDescent="0.35">
      <c r="A118" s="700"/>
      <c r="B118" s="91"/>
      <c r="C118" s="67"/>
      <c r="D118" s="342"/>
      <c r="E118" s="92"/>
      <c r="F118" s="92"/>
      <c r="G118" s="92"/>
      <c r="H118" s="99"/>
      <c r="I118" s="100"/>
      <c r="J118" s="206"/>
      <c r="K118" s="120"/>
      <c r="L118" s="195"/>
      <c r="M118" s="428"/>
      <c r="N118" s="195"/>
      <c r="O118" s="428"/>
      <c r="P118" s="101"/>
      <c r="Q118" s="124"/>
    </row>
    <row r="119" spans="1:18" ht="62.25" customHeight="1" thickBot="1" x14ac:dyDescent="0.35">
      <c r="A119" s="701"/>
      <c r="B119" s="77"/>
      <c r="C119" s="76"/>
      <c r="D119" s="580" t="s">
        <v>34</v>
      </c>
      <c r="E119" s="581"/>
      <c r="F119" s="581"/>
      <c r="G119" s="581"/>
      <c r="H119" s="582"/>
      <c r="I119" s="75"/>
      <c r="J119" s="226">
        <f>J77+J108+J117</f>
        <v>446100</v>
      </c>
      <c r="K119" s="489">
        <f>K94+K88+K39+K25+K17+K16+K117</f>
        <v>63460</v>
      </c>
      <c r="L119" s="374">
        <f>L77+L108+L117</f>
        <v>8291.1600000000089</v>
      </c>
      <c r="M119" s="429"/>
      <c r="N119" s="374">
        <f>N77+N108+N117</f>
        <v>482797.11</v>
      </c>
      <c r="O119" s="476"/>
      <c r="P119" s="78"/>
      <c r="Q119" s="78"/>
      <c r="R119" s="535">
        <f>J119-L119-N119</f>
        <v>-44988.270000000019</v>
      </c>
    </row>
    <row r="120" spans="1:18" ht="32.25" customHeight="1" thickBot="1" x14ac:dyDescent="0.35">
      <c r="B120" s="67"/>
      <c r="C120" s="67"/>
      <c r="D120" s="73"/>
      <c r="E120" s="73"/>
      <c r="F120" s="73"/>
      <c r="G120" s="73"/>
      <c r="H120" s="73"/>
      <c r="I120" s="74"/>
      <c r="J120" s="207"/>
      <c r="K120" s="121"/>
      <c r="L120" s="196"/>
      <c r="M120" s="430"/>
      <c r="N120" s="196"/>
      <c r="O120" s="430"/>
    </row>
    <row r="121" spans="1:18" ht="38.25" customHeight="1" thickBot="1" x14ac:dyDescent="0.35">
      <c r="A121" s="553" t="s">
        <v>33</v>
      </c>
      <c r="B121" s="554"/>
      <c r="C121" s="96"/>
      <c r="D121" s="589" t="s">
        <v>41</v>
      </c>
      <c r="E121" s="590"/>
      <c r="F121" s="590"/>
      <c r="G121" s="590"/>
      <c r="H121" s="590"/>
      <c r="I121" s="590"/>
      <c r="J121" s="590"/>
      <c r="K121" s="590"/>
      <c r="L121" s="590"/>
      <c r="M121" s="590"/>
      <c r="N121" s="590"/>
      <c r="O121" s="590"/>
      <c r="P121" s="546"/>
      <c r="Q121" s="547"/>
    </row>
    <row r="122" spans="1:18" ht="38.25" customHeight="1" thickBot="1" x14ac:dyDescent="0.35">
      <c r="A122" s="555"/>
      <c r="B122" s="556"/>
      <c r="C122" s="42"/>
      <c r="D122" s="343" t="s">
        <v>78</v>
      </c>
      <c r="E122" s="239" t="s">
        <v>79</v>
      </c>
      <c r="F122" s="239" t="s">
        <v>4</v>
      </c>
      <c r="G122" s="239" t="s">
        <v>80</v>
      </c>
      <c r="H122" s="573" t="s">
        <v>28</v>
      </c>
      <c r="I122" s="574"/>
      <c r="J122" s="574"/>
      <c r="K122" s="574"/>
      <c r="L122" s="574"/>
      <c r="M122" s="574"/>
      <c r="N122" s="574"/>
      <c r="O122" s="575"/>
      <c r="P122" s="548"/>
      <c r="Q122" s="549"/>
    </row>
    <row r="123" spans="1:18" ht="81" customHeight="1" x14ac:dyDescent="0.3">
      <c r="A123" s="555"/>
      <c r="B123" s="556"/>
      <c r="C123" s="42"/>
      <c r="D123" s="563"/>
      <c r="E123" s="588"/>
      <c r="F123" s="588"/>
      <c r="G123" s="480"/>
      <c r="H123" s="169" t="s">
        <v>144</v>
      </c>
      <c r="I123" s="139"/>
      <c r="J123" s="209">
        <v>4000</v>
      </c>
      <c r="K123" s="591" t="s">
        <v>128</v>
      </c>
      <c r="L123" s="197"/>
      <c r="M123" s="431">
        <v>44742</v>
      </c>
      <c r="N123" s="735">
        <f>539+21.4+307.8+2065.2+214.8+206.4+110+3101.68</f>
        <v>6566.28</v>
      </c>
      <c r="O123" s="431">
        <v>44746</v>
      </c>
      <c r="P123" s="550"/>
      <c r="Q123" s="549"/>
    </row>
    <row r="124" spans="1:18" ht="31.2" x14ac:dyDescent="0.3">
      <c r="A124" s="555"/>
      <c r="B124" s="556"/>
      <c r="C124" s="42"/>
      <c r="D124" s="563"/>
      <c r="E124" s="588"/>
      <c r="F124" s="588"/>
      <c r="G124" s="583" t="s">
        <v>101</v>
      </c>
      <c r="H124" s="68" t="s">
        <v>122</v>
      </c>
      <c r="I124" s="139"/>
      <c r="J124" s="209">
        <v>11000</v>
      </c>
      <c r="K124" s="591"/>
      <c r="L124" s="198">
        <f>3588+7500-3588-7500</f>
        <v>0</v>
      </c>
      <c r="M124" s="432">
        <v>44606</v>
      </c>
      <c r="N124" s="735">
        <f>3588+7500</f>
        <v>11088</v>
      </c>
      <c r="O124" s="432">
        <v>44720</v>
      </c>
      <c r="P124" s="550"/>
      <c r="Q124" s="549"/>
    </row>
    <row r="125" spans="1:18" ht="116.25" customHeight="1" x14ac:dyDescent="0.3">
      <c r="A125" s="555"/>
      <c r="B125" s="556"/>
      <c r="C125" s="42"/>
      <c r="D125" s="563"/>
      <c r="E125" s="588"/>
      <c r="F125" s="588"/>
      <c r="G125" s="584"/>
      <c r="H125" s="68" t="s">
        <v>135</v>
      </c>
      <c r="I125" s="139"/>
      <c r="J125" s="209">
        <v>16500</v>
      </c>
      <c r="K125" s="591"/>
      <c r="L125" s="198">
        <f>300+248.4+1497.6+507.36-507.36-1497.6-248.4-300+378-378</f>
        <v>0</v>
      </c>
      <c r="M125" s="432">
        <v>44615</v>
      </c>
      <c r="N125" s="735">
        <f>13656+507.36+1497.6+248.4+1560+300+378</f>
        <v>18147.36</v>
      </c>
      <c r="O125" s="432">
        <v>44705</v>
      </c>
      <c r="P125" s="550"/>
      <c r="Q125" s="549"/>
    </row>
    <row r="126" spans="1:18" ht="93.6" x14ac:dyDescent="0.3">
      <c r="A126" s="555"/>
      <c r="B126" s="556"/>
      <c r="C126" s="42"/>
      <c r="D126" s="563"/>
      <c r="E126" s="588"/>
      <c r="F126" s="588"/>
      <c r="G126" s="584"/>
      <c r="H126" s="68" t="s">
        <v>133</v>
      </c>
      <c r="I126" s="139"/>
      <c r="J126" s="209">
        <v>15000</v>
      </c>
      <c r="K126" s="591"/>
      <c r="L126" s="198">
        <f>6000+1632+6600-6600-1632+1080-6000-1080</f>
        <v>0</v>
      </c>
      <c r="M126" s="432">
        <v>44602</v>
      </c>
      <c r="N126" s="735">
        <f>6600+1632+6000+1080</f>
        <v>15312</v>
      </c>
      <c r="O126" s="432">
        <v>44720</v>
      </c>
      <c r="P126" s="550"/>
      <c r="Q126" s="549"/>
    </row>
    <row r="127" spans="1:18" ht="17.25" customHeight="1" thickBot="1" x14ac:dyDescent="0.35">
      <c r="A127" s="555"/>
      <c r="B127" s="556"/>
      <c r="C127" s="42"/>
      <c r="D127" s="563"/>
      <c r="E127" s="588"/>
      <c r="F127" s="588"/>
      <c r="G127" s="584"/>
      <c r="H127" s="68" t="s">
        <v>126</v>
      </c>
      <c r="I127" s="139"/>
      <c r="J127" s="209">
        <v>1000</v>
      </c>
      <c r="K127" s="591"/>
      <c r="L127" s="198"/>
      <c r="M127" s="432"/>
      <c r="N127" s="198"/>
      <c r="O127" s="432"/>
      <c r="P127" s="550"/>
      <c r="Q127" s="549"/>
    </row>
    <row r="128" spans="1:18" ht="35.25" customHeight="1" x14ac:dyDescent="0.3">
      <c r="A128" s="555"/>
      <c r="B128" s="556"/>
      <c r="C128" s="42"/>
      <c r="D128" s="563"/>
      <c r="E128" s="588"/>
      <c r="F128" s="588"/>
      <c r="G128" s="584"/>
      <c r="H128" s="68" t="s">
        <v>130</v>
      </c>
      <c r="I128" s="140"/>
      <c r="J128" s="209">
        <v>2000</v>
      </c>
      <c r="K128" s="591"/>
      <c r="L128" s="198">
        <f>2160-2160</f>
        <v>0</v>
      </c>
      <c r="M128" s="432"/>
      <c r="N128" s="735">
        <v>2160</v>
      </c>
      <c r="O128" s="432">
        <v>44720</v>
      </c>
      <c r="P128" s="550"/>
      <c r="Q128" s="549"/>
    </row>
    <row r="129" spans="1:18" ht="15.75" customHeight="1" x14ac:dyDescent="0.3">
      <c r="A129" s="555"/>
      <c r="B129" s="556"/>
      <c r="C129" s="42"/>
      <c r="D129" s="563"/>
      <c r="E129" s="588"/>
      <c r="F129" s="588"/>
      <c r="G129" s="584"/>
      <c r="H129" s="68" t="s">
        <v>129</v>
      </c>
      <c r="I129" s="140"/>
      <c r="J129" s="209">
        <v>1666.36</v>
      </c>
      <c r="K129" s="591"/>
      <c r="L129" s="198"/>
      <c r="M129" s="432"/>
      <c r="N129" s="198"/>
      <c r="O129" s="432"/>
      <c r="P129" s="550"/>
      <c r="Q129" s="549"/>
    </row>
    <row r="130" spans="1:18" ht="24" customHeight="1" x14ac:dyDescent="0.3">
      <c r="A130" s="555"/>
      <c r="B130" s="556"/>
      <c r="C130" s="42"/>
      <c r="D130" s="563"/>
      <c r="E130" s="588"/>
      <c r="F130" s="588"/>
      <c r="G130" s="584"/>
      <c r="H130" s="478" t="s">
        <v>119</v>
      </c>
      <c r="I130" s="140"/>
      <c r="J130" s="209">
        <v>1000</v>
      </c>
      <c r="K130" s="591"/>
      <c r="L130" s="198"/>
      <c r="M130" s="432">
        <v>44615</v>
      </c>
      <c r="N130" s="735">
        <v>1084.8</v>
      </c>
      <c r="O130" s="432">
        <v>44636</v>
      </c>
      <c r="P130" s="550"/>
      <c r="Q130" s="549"/>
    </row>
    <row r="131" spans="1:18" ht="24" customHeight="1" x14ac:dyDescent="0.3">
      <c r="A131" s="555"/>
      <c r="B131" s="556"/>
      <c r="C131" s="42"/>
      <c r="D131" s="563"/>
      <c r="E131" s="588"/>
      <c r="F131" s="588"/>
      <c r="G131" s="584"/>
      <c r="H131" s="68" t="s">
        <v>127</v>
      </c>
      <c r="I131" s="140"/>
      <c r="J131" s="209">
        <v>4000</v>
      </c>
      <c r="K131" s="591"/>
      <c r="L131" s="198">
        <f>4080-4080</f>
        <v>0</v>
      </c>
      <c r="M131" s="432">
        <v>44615</v>
      </c>
      <c r="N131" s="735">
        <v>4080</v>
      </c>
      <c r="O131" s="432">
        <v>44720</v>
      </c>
      <c r="P131" s="550"/>
      <c r="Q131" s="549"/>
    </row>
    <row r="132" spans="1:18" ht="35.25" customHeight="1" thickBot="1" x14ac:dyDescent="0.35">
      <c r="A132" s="555"/>
      <c r="B132" s="556"/>
      <c r="C132" s="42"/>
      <c r="D132" s="563"/>
      <c r="E132" s="588"/>
      <c r="F132" s="588"/>
      <c r="G132" s="584"/>
      <c r="H132" s="68" t="s">
        <v>124</v>
      </c>
      <c r="I132" s="140"/>
      <c r="J132" s="209">
        <v>3500</v>
      </c>
      <c r="K132" s="591"/>
      <c r="L132" s="198">
        <f>3360-3360</f>
        <v>0</v>
      </c>
      <c r="M132" s="432">
        <v>44622</v>
      </c>
      <c r="N132" s="735">
        <v>3360</v>
      </c>
      <c r="O132" s="432">
        <v>44720</v>
      </c>
      <c r="P132" s="550"/>
      <c r="Q132" s="549"/>
    </row>
    <row r="133" spans="1:18" ht="49.5" customHeight="1" thickBot="1" x14ac:dyDescent="0.35">
      <c r="A133" s="557"/>
      <c r="B133" s="558"/>
      <c r="C133" s="97"/>
      <c r="D133" s="578" t="s">
        <v>36</v>
      </c>
      <c r="E133" s="579"/>
      <c r="F133" s="579"/>
      <c r="G133" s="579"/>
      <c r="H133" s="579"/>
      <c r="I133" s="376"/>
      <c r="J133" s="377">
        <f>SUM(J123:J132)</f>
        <v>59666.36</v>
      </c>
      <c r="K133" s="592"/>
      <c r="L133" s="378">
        <f>SUM(L123:L132)</f>
        <v>0</v>
      </c>
      <c r="M133" s="433"/>
      <c r="N133" s="378">
        <f>SUM(N123:N132)</f>
        <v>61798.44</v>
      </c>
      <c r="O133" s="477"/>
      <c r="P133" s="551"/>
      <c r="Q133" s="552"/>
      <c r="R133" s="507">
        <f>J133-(N133+L133)</f>
        <v>-2132.0800000000017</v>
      </c>
    </row>
    <row r="134" spans="1:18" s="3" customFormat="1" ht="33" customHeight="1" thickBot="1" x14ac:dyDescent="0.35">
      <c r="A134" s="95"/>
      <c r="B134" s="93"/>
      <c r="C134" s="67"/>
      <c r="D134" s="344"/>
      <c r="E134" s="34"/>
      <c r="F134" s="34"/>
      <c r="G134" s="51"/>
      <c r="H134" s="35"/>
      <c r="I134" s="36"/>
      <c r="J134" s="225"/>
      <c r="K134" s="122"/>
      <c r="L134" s="199"/>
      <c r="M134" s="434"/>
      <c r="N134" s="199"/>
      <c r="O134" s="434"/>
      <c r="R134" s="498"/>
    </row>
    <row r="135" spans="1:18" s="81" customFormat="1" ht="101.25" customHeight="1" thickBot="1" x14ac:dyDescent="0.35">
      <c r="A135" s="82"/>
      <c r="B135" s="544" t="s">
        <v>37</v>
      </c>
      <c r="C135" s="545"/>
      <c r="D135" s="545"/>
      <c r="E135" s="545"/>
      <c r="F135" s="545"/>
      <c r="G135" s="545"/>
      <c r="H135" s="545"/>
      <c r="I135" s="103" t="e">
        <f>I77+#REF!++#REF!+#REF!</f>
        <v>#REF!</v>
      </c>
      <c r="J135" s="226">
        <f>J49+J64+J75+J96+J106+J117+J133</f>
        <v>505766.36</v>
      </c>
      <c r="K135" s="375">
        <f>K49+K64+K75+K96+K106+K117+K133</f>
        <v>63460</v>
      </c>
      <c r="L135" s="375">
        <f>L133+L119</f>
        <v>8291.1600000000089</v>
      </c>
      <c r="M135" s="435"/>
      <c r="N135" s="375">
        <f>N133+N119</f>
        <v>544595.55000000005</v>
      </c>
      <c r="O135" s="435"/>
      <c r="P135" s="540"/>
      <c r="Q135" s="540"/>
      <c r="R135" s="537">
        <f>J135-L135-N135</f>
        <v>-47120.350000000093</v>
      </c>
    </row>
    <row r="136" spans="1:18" ht="9.75" customHeight="1" x14ac:dyDescent="0.3"/>
    <row r="137" spans="1:18" ht="42" customHeight="1" x14ac:dyDescent="0.3">
      <c r="A137" s="691" t="s">
        <v>72</v>
      </c>
      <c r="B137" s="691"/>
      <c r="C137" s="691"/>
      <c r="D137" s="691"/>
      <c r="E137" s="691"/>
      <c r="F137" s="691"/>
      <c r="G137" s="691"/>
      <c r="H137" s="691"/>
      <c r="I137" s="691"/>
      <c r="J137" s="691"/>
      <c r="K137" s="691"/>
      <c r="L137" s="691"/>
      <c r="M137" s="691"/>
      <c r="N137" s="691"/>
      <c r="O137" s="691"/>
      <c r="P137" s="691"/>
    </row>
    <row r="139" spans="1:18" x14ac:dyDescent="0.3">
      <c r="B139" s="136"/>
    </row>
    <row r="140" spans="1:18" x14ac:dyDescent="0.3">
      <c r="B140" s="141"/>
    </row>
  </sheetData>
  <mergeCells count="81">
    <mergeCell ref="P8:Q8"/>
    <mergeCell ref="A137:P137"/>
    <mergeCell ref="D91:D94"/>
    <mergeCell ref="D83:D88"/>
    <mergeCell ref="E83:E88"/>
    <mergeCell ref="E99:E105"/>
    <mergeCell ref="F99:F105"/>
    <mergeCell ref="A9:A119"/>
    <mergeCell ref="D82:O82"/>
    <mergeCell ref="B110:B117"/>
    <mergeCell ref="G91:G94"/>
    <mergeCell ref="C51:C64"/>
    <mergeCell ref="D99:D105"/>
    <mergeCell ref="B79:O79"/>
    <mergeCell ref="E67:E74"/>
    <mergeCell ref="F67:F74"/>
    <mergeCell ref="B1:F1"/>
    <mergeCell ref="D32:D36"/>
    <mergeCell ref="D39:D40"/>
    <mergeCell ref="B5:O5"/>
    <mergeCell ref="G16:G17"/>
    <mergeCell ref="B2:O2"/>
    <mergeCell ref="B4:O4"/>
    <mergeCell ref="B6:O6"/>
    <mergeCell ref="B7:O7"/>
    <mergeCell ref="B8:C8"/>
    <mergeCell ref="B11:B75"/>
    <mergeCell ref="F52:F63"/>
    <mergeCell ref="B10:O10"/>
    <mergeCell ref="D67:D73"/>
    <mergeCell ref="B3:O3"/>
    <mergeCell ref="E52:E63"/>
    <mergeCell ref="H11:O11"/>
    <mergeCell ref="H51:O51"/>
    <mergeCell ref="H66:O66"/>
    <mergeCell ref="D96:H96"/>
    <mergeCell ref="F12:F48"/>
    <mergeCell ref="F91:F94"/>
    <mergeCell ref="D44:D45"/>
    <mergeCell ref="C49:H49"/>
    <mergeCell ref="C12:C46"/>
    <mergeCell ref="E12:E46"/>
    <mergeCell ref="D53:D54"/>
    <mergeCell ref="J32:J33"/>
    <mergeCell ref="J39:J40"/>
    <mergeCell ref="K39:K40"/>
    <mergeCell ref="D75:H75"/>
    <mergeCell ref="F111:F116"/>
    <mergeCell ref="H110:O110"/>
    <mergeCell ref="D108:H108"/>
    <mergeCell ref="G84:G86"/>
    <mergeCell ref="D64:H64"/>
    <mergeCell ref="D106:H106"/>
    <mergeCell ref="F83:F88"/>
    <mergeCell ref="B77:H77"/>
    <mergeCell ref="J68:J69"/>
    <mergeCell ref="H91:H93"/>
    <mergeCell ref="J91:J93"/>
    <mergeCell ref="J104:J105"/>
    <mergeCell ref="G124:G132"/>
    <mergeCell ref="D117:H117"/>
    <mergeCell ref="E123:E132"/>
    <mergeCell ref="F123:F132"/>
    <mergeCell ref="D121:O121"/>
    <mergeCell ref="K123:K133"/>
    <mergeCell ref="P135:Q135"/>
    <mergeCell ref="D90:O90"/>
    <mergeCell ref="B135:H135"/>
    <mergeCell ref="P121:Q133"/>
    <mergeCell ref="A121:B133"/>
    <mergeCell ref="D95:H95"/>
    <mergeCell ref="B81:B108"/>
    <mergeCell ref="D123:D132"/>
    <mergeCell ref="E91:E94"/>
    <mergeCell ref="E111:E116"/>
    <mergeCell ref="H81:O81"/>
    <mergeCell ref="H98:O98"/>
    <mergeCell ref="H122:O122"/>
    <mergeCell ref="D89:H89"/>
    <mergeCell ref="D133:H133"/>
    <mergeCell ref="D119:H119"/>
  </mergeCells>
  <pageMargins left="0.23622047244094491" right="0.23622047244094491" top="0.74803149606299213" bottom="0.74803149606299213" header="0.31496062992125984" footer="0.31496062992125984"/>
  <pageSetup paperSize="8" scale="4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C4F99-7127-4139-AF2F-104EDBCD5A76}">
  <dimension ref="A1"/>
  <sheetViews>
    <sheetView workbookViewId="0"/>
  </sheetViews>
  <sheetFormatPr baseColWidth="10"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2022</vt:lpstr>
      <vt:lpstr>Feuil1</vt:lpstr>
      <vt:lpstr>'2022'!Print_Area</vt:lpstr>
      <vt:lpstr>'2022'!Zone_d_impression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carolem</dc:creator>
  <cp:lastModifiedBy>VERJUS Aurélie</cp:lastModifiedBy>
  <cp:lastPrinted>2022-11-24T14:38:51Z</cp:lastPrinted>
  <dcterms:created xsi:type="dcterms:W3CDTF">2014-07-11T08:43:44Z</dcterms:created>
  <dcterms:modified xsi:type="dcterms:W3CDTF">2022-12-07T13:57:51Z</dcterms:modified>
</cp:coreProperties>
</file>